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ECOP\COORDENACAO CONTRATOS\6. Planilhas TCE\Execução de Contratos\2026\Excel\"/>
    </mc:Choice>
  </mc:AlternateContent>
  <xr:revisionPtr revIDLastSave="0" documentId="13_ncr:1_{3B94D715-2505-47EA-9748-5AF58FDA643F}" xr6:coauthVersionLast="47" xr6:coauthVersionMax="47" xr10:uidLastSave="{00000000-0000-0000-0000-000000000000}"/>
  <bookViews>
    <workbookView xWindow="-110" yWindow="-110" windowWidth="19420" windowHeight="10300" xr2:uid="{16B30FFB-E59C-4EE2-BCD0-F2286668ACC4}"/>
  </bookViews>
  <sheets>
    <sheet name="Publicar" sheetId="1" r:id="rId1"/>
  </sheets>
  <definedNames>
    <definedName name="_xlnm._FilterDatabase" localSheetId="0" hidden="1">Publicar!$H$1:$H$4</definedName>
    <definedName name="_xlnm.Print_Titles" localSheetId="0">Publicar!$1:$4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4" i="1" l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<sst xmlns="http://schemas.openxmlformats.org/spreadsheetml/2006/main" count="8" uniqueCount="8">
  <si>
    <t>Saldo Contrato</t>
  </si>
  <si>
    <t>N° do Contrato/Convênio</t>
  </si>
  <si>
    <t>Saldo Inicial</t>
  </si>
  <si>
    <t>Total Executado</t>
  </si>
  <si>
    <t>Fornecedor</t>
  </si>
  <si>
    <t>Informação completa mensalmente atualizada sobre a execução de seus contratos e de seu orçamento, nos termos do art. 88 da Lei 13.303/2016.</t>
  </si>
  <si>
    <t>Data de Encerramento</t>
  </si>
  <si>
    <t>Data de Início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</si>
</sst>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######0"/>
    <numFmt numFmtId="165" formatCode="_-* #,##0.000000_-;\-* #,##0.000000_-;_-* &quot;-&quot;??_-;_-@_-"/>
    <numFmt numFmtId="166" formatCode="_-* #,##0.0000000_-;\-* #,##0.00000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43" fontId="19" fillId="0" borderId="0" xfId="42" applyFont="1" applyAlignment="1">
      <alignment horizontal="center" vertical="center"/>
    </xf>
    <xf numFmtId="166" fontId="19" fillId="0" borderId="0" xfId="42" applyNumberFormat="1" applyFont="1" applyAlignment="1">
      <alignment vertical="center"/>
    </xf>
    <xf numFmtId="165" fontId="19" fillId="0" borderId="0" xfId="42" applyNumberFormat="1" applyFont="1" applyAlignment="1">
      <alignment horizontal="center" vertical="center"/>
    </xf>
    <xf numFmtId="14" fontId="0" fillId="0" borderId="11" xfId="0" applyNumberFormat="1" applyBorder="1" applyAlignment="1">
      <alignment horizontal="right"/>
    </xf>
    <xf numFmtId="0" fontId="20" fillId="33" borderId="11" xfId="0" applyFont="1" applyFill="1" applyBorder="1" applyAlignment="1">
      <alignment horizontal="center" vertical="center" wrapText="1"/>
    </xf>
    <xf numFmtId="165" fontId="20" fillId="33" borderId="11" xfId="42" applyNumberFormat="1" applyFont="1" applyFill="1" applyBorder="1" applyAlignment="1">
      <alignment horizontal="center" vertical="center" wrapText="1"/>
    </xf>
    <xf numFmtId="43" fontId="20" fillId="33" borderId="11" xfId="42" applyFont="1" applyFill="1" applyBorder="1" applyAlignment="1">
      <alignment horizontal="center" vertical="center" wrapText="1"/>
    </xf>
    <xf numFmtId="166" fontId="20" fillId="33" borderId="11" xfId="42" applyNumberFormat="1" applyFont="1" applyFill="1" applyBorder="1" applyAlignment="1">
      <alignment horizontal="center" vertical="center" wrapText="1"/>
    </xf>
    <xf numFmtId="164" fontId="0" fillId="0" borderId="12" xfId="0" applyNumberFormat="1" applyBorder="1" applyAlignment="1">
      <alignment horizontal="right"/>
    </xf>
    <xf numFmtId="0" fontId="0" fillId="0" borderId="11" xfId="0" applyBorder="1"/>
    <xf numFmtId="44" fontId="0" fillId="0" borderId="11" xfId="43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4">
    <cellStyle name="20% - Ênfase1" xfId="17" builtinId="30" customBuiltin="1"/>
    <cellStyle name="20% - Ênfase2" xfId="20" builtinId="34" customBuiltin="1"/>
    <cellStyle name="20% - Ênfase3" xfId="23" builtinId="38" customBuiltin="1"/>
    <cellStyle name="20% - Ênfase4" xfId="26" builtinId="42" customBuiltin="1"/>
    <cellStyle name="20% - Ênfase5" xfId="29" builtinId="46" customBuiltin="1"/>
    <cellStyle name="20% - Ênfase6" xfId="32" builtinId="50" customBuiltin="1"/>
    <cellStyle name="40% - Ênfase1" xfId="18" builtinId="31" customBuiltin="1"/>
    <cellStyle name="40% - Ênfase2" xfId="21" builtinId="35" customBuiltin="1"/>
    <cellStyle name="40% - Ênfase3" xfId="24" builtinId="39" customBuiltin="1"/>
    <cellStyle name="40% - Ênfase4" xfId="27" builtinId="43" customBuiltin="1"/>
    <cellStyle name="40% - Ênfase5" xfId="30" builtinId="47" customBuiltin="1"/>
    <cellStyle name="40% - Ênfase6" xfId="33" builtinId="51" customBuiltin="1"/>
    <cellStyle name="60% - Ênfase1 2" xfId="36" xr:uid="{41C93333-DC95-4364-84D3-1FE1440E72E6}"/>
    <cellStyle name="60% - Ênfase2 2" xfId="37" xr:uid="{D77E6C45-B60C-413A-9253-EAFEB1C8A84A}"/>
    <cellStyle name="60% - Ênfase3 2" xfId="38" xr:uid="{ED1C04E4-3AB1-4D50-81EA-F880B3DBDADB}"/>
    <cellStyle name="60% - Ênfase4 2" xfId="39" xr:uid="{B4E7979D-A4FB-4427-A176-98E5CABF7FC0}"/>
    <cellStyle name="60% - Ênfase5 2" xfId="40" xr:uid="{5FC810A3-19F4-4C42-96E6-5F412C310C58}"/>
    <cellStyle name="60% - Ênfase6 2" xfId="41" xr:uid="{E3DBA739-99C5-4F0A-AB5A-55AD41781673}"/>
    <cellStyle name="Bom" xfId="5" builtinId="26" customBuiltin="1"/>
    <cellStyle name="Cálculo" xfId="9" builtinId="22" customBuiltin="1"/>
    <cellStyle name="Célula de Verificação" xfId="11" builtinId="23" customBuiltin="1"/>
    <cellStyle name="Célula Vinculada" xfId="10" builtinId="24" customBuiltin="1"/>
    <cellStyle name="Ênfase1" xfId="16" builtinId="29" customBuiltin="1"/>
    <cellStyle name="Ênfase2" xfId="19" builtinId="33" customBuiltin="1"/>
    <cellStyle name="Ênfase3" xfId="22" builtinId="37" customBuiltin="1"/>
    <cellStyle name="Ênfase4" xfId="25" builtinId="41" customBuiltin="1"/>
    <cellStyle name="Ênfase5" xfId="28" builtinId="45" customBuiltin="1"/>
    <cellStyle name="Ênfase6" xfId="31" builtinId="49" customBuiltin="1"/>
    <cellStyle name="Entrada" xfId="7" builtinId="20" customBuiltin="1"/>
    <cellStyle name="Moeda" xfId="43" builtinId="4"/>
    <cellStyle name="Neutro 2" xfId="35" xr:uid="{F324C34F-DA4E-4BE1-8791-79B6A8ED5896}"/>
    <cellStyle name="Normal" xfId="0" builtinId="0"/>
    <cellStyle name="Nota" xfId="13" builtinId="10" customBuiltin="1"/>
    <cellStyle name="Ruim" xfId="6" builtinId="27" customBuiltin="1"/>
    <cellStyle name="Saída" xfId="8" builtinId="21" customBuiltin="1"/>
    <cellStyle name="Texto de Aviso" xfId="12" builtinId="11" customBuiltin="1"/>
    <cellStyle name="Texto Explicativo" xfId="14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" builtinId="19" customBuiltin="1"/>
    <cellStyle name="Título 5" xfId="34" xr:uid="{56137074-11D6-4CAD-9AD3-643F441AD5BE}"/>
    <cellStyle name="Total" xfId="15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4D02-506F-4CD5-A8EE-2CB5CF4958E5}">
  <sheetPr>
    <pageSetUpPr fitToPage="1"/>
  </sheetPr>
  <dimension ref="A1:J214"/>
  <sheetViews>
    <sheetView tabSelected="1" zoomScaleNormal="100" workbookViewId="0">
      <pane xSplit="8" ySplit="4" topLeftCell="I5" activePane="bottomRight" state="frozen"/>
      <selection pane="topRight" activeCell="G1" sqref="G1"/>
      <selection pane="bottomLeft" activeCell="A5" sqref="A5"/>
      <selection pane="bottomRight" activeCell="E5" sqref="E5"/>
    </sheetView>
  </sheetViews>
  <sheetFormatPr defaultColWidth="8.7265625" defaultRowHeight="14.5" x14ac:dyDescent="0.35"/>
  <cols>
    <col min="1" max="1" width="0.81640625" style="2" customWidth="1"/>
    <col min="2" max="2" width="15.54296875" style="4" customWidth="1"/>
    <col min="3" max="3" width="63.90625" style="5" customWidth="1"/>
    <col min="4" max="4" width="10.81640625" style="4" customWidth="1"/>
    <col min="5" max="5" width="13.453125" style="4" customWidth="1"/>
    <col min="6" max="6" width="17.54296875" style="8" customWidth="1"/>
    <col min="7" max="7" width="16.26953125" style="6" customWidth="1"/>
    <col min="8" max="8" width="19.81640625" style="7" customWidth="1"/>
    <col min="9" max="9" width="1.81640625" style="3" customWidth="1"/>
    <col min="10" max="16384" width="8.7265625" style="2"/>
  </cols>
  <sheetData>
    <row r="1" spans="1:10" s="1" customFormat="1" x14ac:dyDescent="0.35">
      <c r="A1" s="2"/>
      <c r="B1" s="17" t="s">
        <v>5</v>
      </c>
      <c r="C1" s="18"/>
      <c r="D1" s="18"/>
      <c r="E1" s="18"/>
      <c r="F1" s="18"/>
      <c r="G1" s="18"/>
      <c r="H1" s="18"/>
      <c r="I1" s="3"/>
      <c r="J1" s="2"/>
    </row>
    <row r="2" spans="1:10" ht="8.25" customHeight="1" x14ac:dyDescent="0.35">
      <c r="B2" s="18"/>
      <c r="C2" s="18"/>
      <c r="D2" s="18"/>
      <c r="E2" s="18"/>
      <c r="F2" s="18"/>
      <c r="G2" s="18"/>
      <c r="H2" s="18"/>
    </row>
    <row r="3" spans="1:10" ht="9.75" customHeight="1" x14ac:dyDescent="0.35">
      <c r="B3" s="18"/>
      <c r="C3" s="18"/>
      <c r="D3" s="18"/>
      <c r="E3" s="18"/>
      <c r="F3" s="18"/>
      <c r="G3" s="18"/>
      <c r="H3" s="18"/>
    </row>
    <row r="4" spans="1:10" ht="30.65" customHeight="1" x14ac:dyDescent="0.35">
      <c r="B4" s="10" t="s">
        <v>1</v>
      </c>
      <c r="C4" s="10" t="s">
        <v>4</v>
      </c>
      <c r="D4" s="10" t="s">
        <v>7</v>
      </c>
      <c r="E4" s="10" t="s">
        <v>6</v>
      </c>
      <c r="F4" s="11" t="s">
        <v>2</v>
      </c>
      <c r="G4" s="12" t="s">
        <v>3</v>
      </c>
      <c r="H4" s="13" t="s">
        <v>0</v>
      </c>
    </row>
    <row r="5" spans="1:10" x14ac:dyDescent="0.35">
      <c r="B5" s="14">
        <v>2588</v>
      </c>
      <c r="C5" s="15" t="str">
        <f>"SACHA CALMON MISABEL DERZI  CONSULTORES"</f>
        <v>SACHA CALMON MISABEL DERZI  CONSULTORES</v>
      </c>
      <c r="D5" s="9">
        <v>40198</v>
      </c>
      <c r="E5" s="9">
        <v>46751</v>
      </c>
      <c r="F5" s="16">
        <v>152611.34</v>
      </c>
      <c r="G5" s="16">
        <v>142611.34</v>
      </c>
      <c r="H5" s="16">
        <v>10000</v>
      </c>
    </row>
    <row r="6" spans="1:10" x14ac:dyDescent="0.35">
      <c r="B6" s="14">
        <v>3300</v>
      </c>
      <c r="C6" s="15" t="str">
        <f>"CONSORCIO GESTOR MINASCENTRO"</f>
        <v>CONSORCIO GESTOR MINASCENTRO</v>
      </c>
      <c r="D6" s="9">
        <v>46107</v>
      </c>
      <c r="E6" s="9">
        <v>46472</v>
      </c>
      <c r="F6" s="16">
        <v>1208760</v>
      </c>
      <c r="G6" s="16">
        <v>58620</v>
      </c>
      <c r="H6" s="16">
        <v>1150140</v>
      </c>
    </row>
    <row r="7" spans="1:10" x14ac:dyDescent="0.35">
      <c r="B7" s="14">
        <v>4239</v>
      </c>
      <c r="C7" s="15" t="str">
        <f>"POTTENCIAL SEGURADORA S A"</f>
        <v>POTTENCIAL SEGURADORA S A</v>
      </c>
      <c r="D7" s="9">
        <v>42383</v>
      </c>
      <c r="E7" s="9">
        <v>47943</v>
      </c>
      <c r="F7" s="16">
        <v>625526</v>
      </c>
      <c r="G7" s="16">
        <v>625526</v>
      </c>
      <c r="H7" s="16">
        <v>0</v>
      </c>
    </row>
    <row r="8" spans="1:10" x14ac:dyDescent="0.35">
      <c r="B8" s="14">
        <v>4506</v>
      </c>
      <c r="C8" s="15" t="str">
        <f>"PREFEITURA MUNICIPAL DE LAGOA SANTA"</f>
        <v>PREFEITURA MUNICIPAL DE LAGOA SANTA</v>
      </c>
      <c r="D8" s="9">
        <v>42550</v>
      </c>
      <c r="E8" s="9">
        <v>46899</v>
      </c>
      <c r="F8" s="16">
        <v>3281932.19</v>
      </c>
      <c r="G8" s="16">
        <v>3281932.19</v>
      </c>
      <c r="H8" s="16">
        <v>0</v>
      </c>
    </row>
    <row r="9" spans="1:10" x14ac:dyDescent="0.35">
      <c r="B9" s="14">
        <v>5358</v>
      </c>
      <c r="C9" s="15" t="str">
        <f>"ABUZZA FILMES EIRELI  ME"</f>
        <v>ABUZZA FILMES EIRELI  ME</v>
      </c>
      <c r="D9" s="9">
        <v>43137</v>
      </c>
      <c r="E9" s="9">
        <v>46387</v>
      </c>
      <c r="F9" s="16">
        <v>102900</v>
      </c>
      <c r="G9" s="16">
        <v>0</v>
      </c>
      <c r="H9" s="16">
        <v>102900</v>
      </c>
    </row>
    <row r="10" spans="1:10" x14ac:dyDescent="0.35">
      <c r="B10" s="14">
        <v>5359</v>
      </c>
      <c r="C10" s="15" t="str">
        <f>"BEZOURO COMUNICACAO CINE VIDEO LTDA  ME"</f>
        <v>BEZOURO COMUNICACAO CINE VIDEO LTDA  ME</v>
      </c>
      <c r="D10" s="9">
        <v>43137</v>
      </c>
      <c r="E10" s="9">
        <v>46375</v>
      </c>
      <c r="F10" s="16">
        <v>7500</v>
      </c>
      <c r="G10" s="16">
        <v>7500</v>
      </c>
      <c r="H10" s="16">
        <v>0</v>
      </c>
    </row>
    <row r="11" spans="1:10" x14ac:dyDescent="0.35">
      <c r="B11" s="14">
        <v>5372</v>
      </c>
      <c r="C11" s="15" t="str">
        <f>"QUARTO STUDIO PRODUCAO AUDIOVISUAL LTDA"</f>
        <v>QUARTO STUDIO PRODUCAO AUDIOVISUAL LTDA</v>
      </c>
      <c r="D11" s="9">
        <v>43138</v>
      </c>
      <c r="E11" s="9">
        <v>46441</v>
      </c>
      <c r="F11" s="16">
        <v>52920</v>
      </c>
      <c r="G11" s="16">
        <v>52920</v>
      </c>
      <c r="H11" s="16">
        <v>0</v>
      </c>
    </row>
    <row r="12" spans="1:10" x14ac:dyDescent="0.35">
      <c r="B12" s="14">
        <v>5377</v>
      </c>
      <c r="C12" s="15" t="str">
        <f>"VASTO MUNDO LTDA"</f>
        <v>VASTO MUNDO LTDA</v>
      </c>
      <c r="D12" s="9">
        <v>43139</v>
      </c>
      <c r="E12" s="9">
        <v>46474</v>
      </c>
      <c r="F12" s="16">
        <v>52920</v>
      </c>
      <c r="G12" s="16">
        <v>0</v>
      </c>
      <c r="H12" s="16">
        <v>52920</v>
      </c>
    </row>
    <row r="13" spans="1:10" x14ac:dyDescent="0.35">
      <c r="B13" s="14">
        <v>5381</v>
      </c>
      <c r="C13" s="15" t="str">
        <f>"VACA AMARELA PRODUCOES MULTIMIDIA LTDA"</f>
        <v>VACA AMARELA PRODUCOES MULTIMIDIA LTDA</v>
      </c>
      <c r="D13" s="9">
        <v>43139</v>
      </c>
      <c r="E13" s="9">
        <v>46423</v>
      </c>
      <c r="F13" s="16">
        <v>79203.600000000006</v>
      </c>
      <c r="G13" s="16">
        <v>79203.600000000006</v>
      </c>
      <c r="H13" s="16">
        <v>0</v>
      </c>
    </row>
    <row r="14" spans="1:10" x14ac:dyDescent="0.35">
      <c r="B14" s="14">
        <v>10099</v>
      </c>
      <c r="C14" s="15" t="str">
        <f>"NUTRIBOM EMPREENDIMENTOS IMOBILIARIOS LTDA"</f>
        <v>NUTRIBOM EMPREENDIMENTOS IMOBILIARIOS LTDA</v>
      </c>
      <c r="D14" s="9">
        <v>43164</v>
      </c>
      <c r="E14" s="9">
        <v>46816</v>
      </c>
      <c r="F14" s="16">
        <v>92530000</v>
      </c>
      <c r="G14" s="16">
        <v>0</v>
      </c>
      <c r="H14" s="16">
        <v>92530000</v>
      </c>
    </row>
    <row r="15" spans="1:10" x14ac:dyDescent="0.35">
      <c r="B15" s="14">
        <v>10457</v>
      </c>
      <c r="C15" s="15" t="str">
        <f>"VENTURA PRODUCOES AUDIOVISUAIS LTDA"</f>
        <v>VENTURA PRODUCOES AUDIOVISUAIS LTDA</v>
      </c>
      <c r="D15" s="9">
        <v>43356</v>
      </c>
      <c r="E15" s="9">
        <v>46325</v>
      </c>
      <c r="F15" s="16">
        <v>680000</v>
      </c>
      <c r="G15" s="16">
        <v>680000</v>
      </c>
      <c r="H15" s="16">
        <v>0</v>
      </c>
    </row>
    <row r="16" spans="1:10" x14ac:dyDescent="0.35">
      <c r="B16" s="14">
        <v>10606</v>
      </c>
      <c r="C16" s="15" t="str">
        <f>"RMX CONSERVADORA EIRELI  EPP"</f>
        <v>RMX CONSERVADORA EIRELI  EPP</v>
      </c>
      <c r="D16" s="9">
        <v>43502</v>
      </c>
      <c r="E16" s="9">
        <v>44963</v>
      </c>
      <c r="F16" s="16">
        <v>1150941.47</v>
      </c>
      <c r="G16" s="16">
        <v>1068829.1399999999</v>
      </c>
      <c r="H16" s="16">
        <v>82112.33</v>
      </c>
    </row>
    <row r="17" spans="2:8" x14ac:dyDescent="0.35">
      <c r="B17" s="14">
        <v>10876</v>
      </c>
      <c r="C17" s="15" t="str">
        <f>"JULIA PERENCIN JUNQUEIRA  MEI"</f>
        <v>JULIA PERENCIN JUNQUEIRA  MEI</v>
      </c>
      <c r="D17" s="9">
        <v>43822</v>
      </c>
      <c r="E17" s="9">
        <v>46382</v>
      </c>
      <c r="F17" s="16">
        <v>336665.7</v>
      </c>
      <c r="G17" s="16">
        <v>0</v>
      </c>
      <c r="H17" s="16">
        <v>336665.7</v>
      </c>
    </row>
    <row r="18" spans="2:8" x14ac:dyDescent="0.35">
      <c r="B18" s="14">
        <v>11072</v>
      </c>
      <c r="C18" s="15" t="str">
        <f>"AGUA MINERAL NATURAL FONTE E VIDA LTDA"</f>
        <v>AGUA MINERAL NATURAL FONTE E VIDA LTDA</v>
      </c>
      <c r="D18" s="9">
        <v>44155</v>
      </c>
      <c r="E18" s="9">
        <v>45981</v>
      </c>
      <c r="F18" s="16">
        <v>44102.09</v>
      </c>
      <c r="G18" s="16">
        <v>28383.66</v>
      </c>
      <c r="H18" s="16">
        <v>15718.43</v>
      </c>
    </row>
    <row r="19" spans="2:8" x14ac:dyDescent="0.35">
      <c r="B19" s="14">
        <v>11084</v>
      </c>
      <c r="C19" s="15" t="str">
        <f>"PERFIL ENGENHARIA LTDA"</f>
        <v>PERFIL ENGENHARIA LTDA</v>
      </c>
      <c r="D19" s="9">
        <v>44176</v>
      </c>
      <c r="E19" s="9">
        <v>50070</v>
      </c>
      <c r="F19" s="16">
        <v>70157372.079999998</v>
      </c>
      <c r="G19" s="16">
        <v>0</v>
      </c>
      <c r="H19" s="16">
        <v>70157372.079999998</v>
      </c>
    </row>
    <row r="20" spans="2:8" x14ac:dyDescent="0.35">
      <c r="B20" s="14">
        <v>11140</v>
      </c>
      <c r="C20" s="15" t="str">
        <f>"GONTIJO CALDAS  FLEURY ADVOGADOS ASSOCIADOS"</f>
        <v>GONTIJO CALDAS  FLEURY ADVOGADOS ASSOCIADOS</v>
      </c>
      <c r="D20" s="9">
        <v>44397</v>
      </c>
      <c r="E20" s="9">
        <v>48090</v>
      </c>
      <c r="F20" s="16">
        <v>40000</v>
      </c>
      <c r="G20" s="16">
        <v>32000</v>
      </c>
      <c r="H20" s="16">
        <v>8000</v>
      </c>
    </row>
    <row r="21" spans="2:8" x14ac:dyDescent="0.35">
      <c r="B21" s="14">
        <v>11155</v>
      </c>
      <c r="C21" s="15" t="str">
        <f>"GONTIJO CALDAS  FLEURY ADVOGADOS ASSOCIADOS"</f>
        <v>GONTIJO CALDAS  FLEURY ADVOGADOS ASSOCIADOS</v>
      </c>
      <c r="D21" s="9">
        <v>44438</v>
      </c>
      <c r="E21" s="9">
        <v>48090</v>
      </c>
      <c r="F21" s="16">
        <v>40000</v>
      </c>
      <c r="G21" s="16">
        <v>32000</v>
      </c>
      <c r="H21" s="16">
        <v>8000</v>
      </c>
    </row>
    <row r="22" spans="2:8" x14ac:dyDescent="0.35">
      <c r="B22" s="14">
        <v>11205</v>
      </c>
      <c r="C22" s="15" t="str">
        <f>"PRODEMGE  CIA DE TECNOL DA INFORMACAO DE MG"</f>
        <v>PRODEMGE  CIA DE TECNOL DA INFORMACAO DE MG</v>
      </c>
      <c r="D22" s="9">
        <v>44565</v>
      </c>
      <c r="E22" s="9">
        <v>46391</v>
      </c>
      <c r="F22" s="16">
        <v>9617723.4600000009</v>
      </c>
      <c r="G22" s="16">
        <v>5419641.8899999997</v>
      </c>
      <c r="H22" s="16">
        <v>4198081.57</v>
      </c>
    </row>
    <row r="23" spans="2:8" x14ac:dyDescent="0.35">
      <c r="B23" s="14">
        <v>11215</v>
      </c>
      <c r="C23" s="15" t="str">
        <f>"FLD SA"</f>
        <v>FLD SA</v>
      </c>
      <c r="D23" s="9">
        <v>44581</v>
      </c>
      <c r="E23" s="9">
        <v>46407</v>
      </c>
      <c r="F23" s="16">
        <v>23278165.5</v>
      </c>
      <c r="G23" s="16">
        <v>15637132.41</v>
      </c>
      <c r="H23" s="16">
        <v>7641033.0899999999</v>
      </c>
    </row>
    <row r="24" spans="2:8" x14ac:dyDescent="0.35">
      <c r="B24" s="14">
        <v>11217</v>
      </c>
      <c r="C24" s="15" t="str">
        <f>"PRIME CONSULTORIA E ASSESSORIA EMPRESARIAL"</f>
        <v>PRIME CONSULTORIA E ASSESSORIA EMPRESARIAL</v>
      </c>
      <c r="D24" s="9">
        <v>44588</v>
      </c>
      <c r="E24" s="9">
        <v>46414</v>
      </c>
      <c r="F24" s="16">
        <v>522522.05</v>
      </c>
      <c r="G24" s="16">
        <v>476982.91</v>
      </c>
      <c r="H24" s="16">
        <v>45539.14</v>
      </c>
    </row>
    <row r="25" spans="2:8" x14ac:dyDescent="0.35">
      <c r="B25" s="14">
        <v>11218</v>
      </c>
      <c r="C25" s="15" t="str">
        <f>"SANTANA RASTREAMENTO E MONITORAMENTO LTDA"</f>
        <v>SANTANA RASTREAMENTO E MONITORAMENTO LTDA</v>
      </c>
      <c r="D25" s="9">
        <v>44579</v>
      </c>
      <c r="E25" s="9">
        <v>46405</v>
      </c>
      <c r="F25" s="16">
        <v>44668</v>
      </c>
      <c r="G25" s="16">
        <v>37368</v>
      </c>
      <c r="H25" s="16">
        <v>7300</v>
      </c>
    </row>
    <row r="26" spans="2:8" x14ac:dyDescent="0.35">
      <c r="B26" s="14">
        <v>11225</v>
      </c>
      <c r="C26" s="15" t="str">
        <f>"CENTRO DE DESENVOLVIMENTO DA TECNOLOGIA NUCLEAR"</f>
        <v>CENTRO DE DESENVOLVIMENTO DA TECNOLOGIA NUCLEAR</v>
      </c>
      <c r="D26" s="9">
        <v>44567</v>
      </c>
      <c r="E26" s="9">
        <v>51872</v>
      </c>
      <c r="F26" s="16">
        <v>300000</v>
      </c>
      <c r="G26" s="16">
        <v>300000</v>
      </c>
      <c r="H26" s="16">
        <v>0</v>
      </c>
    </row>
    <row r="27" spans="2:8" x14ac:dyDescent="0.35">
      <c r="B27" s="14">
        <v>11233</v>
      </c>
      <c r="C27" s="15" t="str">
        <f>"LEGAL CONTROLE TECNOLOGIA PARA GESTAO EMPRESARIAL LTDA"</f>
        <v>LEGAL CONTROLE TECNOLOGIA PARA GESTAO EMPRESARIAL LTDA</v>
      </c>
      <c r="D27" s="9">
        <v>44642</v>
      </c>
      <c r="E27" s="9">
        <v>46468</v>
      </c>
      <c r="F27" s="16">
        <v>46340.17</v>
      </c>
      <c r="G27" s="16">
        <v>41601.379999999997</v>
      </c>
      <c r="H27" s="16">
        <v>4738.79</v>
      </c>
    </row>
    <row r="28" spans="2:8" x14ac:dyDescent="0.35">
      <c r="B28" s="14">
        <v>11241</v>
      </c>
      <c r="C28" s="15" t="str">
        <f>"MAXIMO INFORMADOR JURIDICO LTDA"</f>
        <v>MAXIMO INFORMADOR JURIDICO LTDA</v>
      </c>
      <c r="D28" s="9">
        <v>44659</v>
      </c>
      <c r="E28" s="9">
        <v>46485</v>
      </c>
      <c r="F28" s="16">
        <v>15918.12</v>
      </c>
      <c r="G28" s="16">
        <v>13932.5</v>
      </c>
      <c r="H28" s="16">
        <v>1985.62</v>
      </c>
    </row>
    <row r="29" spans="2:8" x14ac:dyDescent="0.35">
      <c r="B29" s="14">
        <v>11247</v>
      </c>
      <c r="C29" s="15" t="str">
        <f>"MULTI CULT PROMOCOES LTDA"</f>
        <v>MULTI CULT PROMOCOES LTDA</v>
      </c>
      <c r="D29" s="9">
        <v>44656</v>
      </c>
      <c r="E29" s="9">
        <v>46481</v>
      </c>
      <c r="F29" s="16">
        <v>953640</v>
      </c>
      <c r="G29" s="16">
        <v>0</v>
      </c>
      <c r="H29" s="16">
        <v>953640</v>
      </c>
    </row>
    <row r="30" spans="2:8" x14ac:dyDescent="0.35">
      <c r="B30" s="14">
        <v>11260</v>
      </c>
      <c r="C30" s="15" t="str">
        <f>"DF STAMATO E CIA LTDA"</f>
        <v>DF STAMATO E CIA LTDA</v>
      </c>
      <c r="D30" s="9">
        <v>44722</v>
      </c>
      <c r="E30" s="9">
        <v>46548</v>
      </c>
      <c r="F30" s="16">
        <v>126113.64</v>
      </c>
      <c r="G30" s="16">
        <v>102914.93</v>
      </c>
      <c r="H30" s="16">
        <v>23198.71</v>
      </c>
    </row>
    <row r="31" spans="2:8" x14ac:dyDescent="0.35">
      <c r="B31" s="14">
        <v>11272</v>
      </c>
      <c r="C31" s="15" t="str">
        <f>"GREENSTONE DESENVOLVIMENTO E PROCESSAMENTO DE DADOS MINERAIS LTDA  ME"</f>
        <v>GREENSTONE DESENVOLVIMENTO E PROCESSAMENTO DE DADOS MINERAIS LTDA  ME</v>
      </c>
      <c r="D31" s="9">
        <v>44741</v>
      </c>
      <c r="E31" s="9">
        <v>46567</v>
      </c>
      <c r="F31" s="16">
        <v>126169.89</v>
      </c>
      <c r="G31" s="16">
        <v>120443.39</v>
      </c>
      <c r="H31" s="16">
        <v>5726.5</v>
      </c>
    </row>
    <row r="32" spans="2:8" x14ac:dyDescent="0.35">
      <c r="B32" s="14">
        <v>11276</v>
      </c>
      <c r="C32" s="15" t="str">
        <f>"PINHEIRO NETO ADVOGADOS"</f>
        <v>PINHEIRO NETO ADVOGADOS</v>
      </c>
      <c r="D32" s="9">
        <v>44760</v>
      </c>
      <c r="E32" s="9">
        <v>46586</v>
      </c>
      <c r="F32" s="16">
        <v>2175000</v>
      </c>
      <c r="G32" s="16">
        <v>167100</v>
      </c>
      <c r="H32" s="16">
        <v>2007900</v>
      </c>
    </row>
    <row r="33" spans="2:8" x14ac:dyDescent="0.35">
      <c r="B33" s="14">
        <v>11280</v>
      </c>
      <c r="C33" s="15" t="str">
        <f>"TRIVALE ADMINISTRACAO LTDA"</f>
        <v>TRIVALE ADMINISTRACAO LTDA</v>
      </c>
      <c r="D33" s="9">
        <v>44781</v>
      </c>
      <c r="E33" s="9">
        <v>46607</v>
      </c>
      <c r="F33" s="16">
        <v>1894641.2</v>
      </c>
      <c r="G33" s="16">
        <v>1267343.8700000001</v>
      </c>
      <c r="H33" s="16">
        <v>627297.32999999996</v>
      </c>
    </row>
    <row r="34" spans="2:8" x14ac:dyDescent="0.35">
      <c r="B34" s="14">
        <v>11282</v>
      </c>
      <c r="C34" s="15" t="str">
        <f>"MOVE MAIS MEIOS DE PAGAMENTO LTDA"</f>
        <v>MOVE MAIS MEIOS DE PAGAMENTO LTDA</v>
      </c>
      <c r="D34" s="9">
        <v>44791</v>
      </c>
      <c r="E34" s="9">
        <v>46616</v>
      </c>
      <c r="F34" s="16">
        <v>59154</v>
      </c>
      <c r="G34" s="16">
        <v>38649.620000000003</v>
      </c>
      <c r="H34" s="16">
        <v>20504.38</v>
      </c>
    </row>
    <row r="35" spans="2:8" x14ac:dyDescent="0.35">
      <c r="B35" s="14">
        <v>11283</v>
      </c>
      <c r="C35" s="15" t="str">
        <f>"ESPACO CULTURAL PALACIO DAS MANGABEIRAS SPE S A"</f>
        <v>ESPACO CULTURAL PALACIO DAS MANGABEIRAS SPE S A</v>
      </c>
      <c r="D35" s="9">
        <v>44812</v>
      </c>
      <c r="E35" s="9">
        <v>46482</v>
      </c>
      <c r="F35" s="16">
        <v>1139888</v>
      </c>
      <c r="G35" s="16">
        <v>53184</v>
      </c>
      <c r="H35" s="16">
        <v>1086704</v>
      </c>
    </row>
    <row r="36" spans="2:8" x14ac:dyDescent="0.35">
      <c r="B36" s="14">
        <v>11284</v>
      </c>
      <c r="C36" s="15" t="str">
        <f>"CLIFORD CHANCE SOCIEDADE DE CONSULTORES EM DIREITO ESTRANGEIRO"</f>
        <v>CLIFORD CHANCE SOCIEDADE DE CONSULTORES EM DIREITO ESTRANGEIRO</v>
      </c>
      <c r="D36" s="9">
        <v>44805</v>
      </c>
      <c r="E36" s="9">
        <v>46631</v>
      </c>
      <c r="F36" s="16">
        <v>1611000</v>
      </c>
      <c r="G36" s="16">
        <v>220000</v>
      </c>
      <c r="H36" s="16">
        <v>1391000</v>
      </c>
    </row>
    <row r="37" spans="2:8" x14ac:dyDescent="0.35">
      <c r="B37" s="14">
        <v>11285</v>
      </c>
      <c r="C37" s="15" t="str">
        <f>"NETVIEW INFORMATICA LTDA"</f>
        <v>NETVIEW INFORMATICA LTDA</v>
      </c>
      <c r="D37" s="9">
        <v>44810</v>
      </c>
      <c r="E37" s="9">
        <v>46636</v>
      </c>
      <c r="F37" s="16">
        <v>810180</v>
      </c>
      <c r="G37" s="16">
        <v>665435.48</v>
      </c>
      <c r="H37" s="16">
        <v>144744.51999999999</v>
      </c>
    </row>
    <row r="38" spans="2:8" x14ac:dyDescent="0.35">
      <c r="B38" s="14">
        <v>11309</v>
      </c>
      <c r="C38" s="15" t="str">
        <f>"AC CLEAN COMERCIO DE LIMPEZA EIRELI  ME"</f>
        <v>AC CLEAN COMERCIO DE LIMPEZA EIRELI  ME</v>
      </c>
      <c r="D38" s="9">
        <v>44868</v>
      </c>
      <c r="E38" s="9">
        <v>46329</v>
      </c>
      <c r="F38" s="16">
        <v>247478.06</v>
      </c>
      <c r="G38" s="16">
        <v>207584.47</v>
      </c>
      <c r="H38" s="16">
        <v>39893.589999999997</v>
      </c>
    </row>
    <row r="39" spans="2:8" x14ac:dyDescent="0.35">
      <c r="B39" s="14">
        <v>11314</v>
      </c>
      <c r="C39" s="15" t="str">
        <f>"MARKIT GROUP LIMITED"</f>
        <v>MARKIT GROUP LIMITED</v>
      </c>
      <c r="D39" s="9">
        <v>44596</v>
      </c>
      <c r="E39" s="9">
        <v>46421</v>
      </c>
      <c r="F39" s="16">
        <v>109517.04</v>
      </c>
      <c r="G39" s="16">
        <v>96601.2</v>
      </c>
      <c r="H39" s="16">
        <v>12915.84</v>
      </c>
    </row>
    <row r="40" spans="2:8" x14ac:dyDescent="0.35">
      <c r="B40" s="14">
        <v>11322</v>
      </c>
      <c r="C40" s="15" t="str">
        <f>"SECRETARIA DE ESTADO DE PLANEJAMENTO E GESTAO"</f>
        <v>SECRETARIA DE ESTADO DE PLANEJAMENTO E GESTAO</v>
      </c>
      <c r="D40" s="9">
        <v>44895</v>
      </c>
      <c r="E40" s="9">
        <v>46721</v>
      </c>
      <c r="F40" s="16">
        <v>8400000</v>
      </c>
      <c r="G40" s="16">
        <v>7000378.4900000002</v>
      </c>
      <c r="H40" s="16">
        <v>1399621.51</v>
      </c>
    </row>
    <row r="41" spans="2:8" x14ac:dyDescent="0.35">
      <c r="B41" s="14">
        <v>11324</v>
      </c>
      <c r="C41" s="15" t="str">
        <f>"UPLEXIS TECNOLOGIA LTDA"</f>
        <v>UPLEXIS TECNOLOGIA LTDA</v>
      </c>
      <c r="D41" s="9">
        <v>44942</v>
      </c>
      <c r="E41" s="9">
        <v>46768</v>
      </c>
      <c r="F41" s="16">
        <v>456597.6</v>
      </c>
      <c r="G41" s="16">
        <v>327003.73</v>
      </c>
      <c r="H41" s="16">
        <v>129593.87</v>
      </c>
    </row>
    <row r="42" spans="2:8" x14ac:dyDescent="0.35">
      <c r="B42" s="14">
        <v>11328</v>
      </c>
      <c r="C42" s="15" t="str">
        <f>"CONTI CONSULTORIA EM TECNOLOGIA DA INFOR"</f>
        <v>CONTI CONSULTORIA EM TECNOLOGIA DA INFOR</v>
      </c>
      <c r="D42" s="9">
        <v>44938</v>
      </c>
      <c r="E42" s="9">
        <v>46764</v>
      </c>
      <c r="F42" s="16">
        <v>7877744.0300000003</v>
      </c>
      <c r="G42" s="16">
        <v>1516707.19</v>
      </c>
      <c r="H42" s="16">
        <v>6361036.8399999999</v>
      </c>
    </row>
    <row r="43" spans="2:8" x14ac:dyDescent="0.35">
      <c r="B43" s="14">
        <v>11330</v>
      </c>
      <c r="C43" s="15" t="str">
        <f>"COMPANHIA DE GAS DE MINAS GERAIS GASMIG"</f>
        <v>COMPANHIA DE GAS DE MINAS GERAIS GASMIG</v>
      </c>
      <c r="D43" s="9">
        <v>44910</v>
      </c>
      <c r="E43" s="9">
        <v>46399</v>
      </c>
      <c r="F43" s="16">
        <v>908210.74</v>
      </c>
      <c r="G43" s="16">
        <v>737809.29</v>
      </c>
      <c r="H43" s="16">
        <v>170401.45</v>
      </c>
    </row>
    <row r="44" spans="2:8" x14ac:dyDescent="0.35">
      <c r="B44" s="14">
        <v>11332</v>
      </c>
      <c r="C44" s="15" t="str">
        <f>"GENTE SEGURADORA SA"</f>
        <v>GENTE SEGURADORA SA</v>
      </c>
      <c r="D44" s="9">
        <v>44942</v>
      </c>
      <c r="E44" s="9">
        <v>46403</v>
      </c>
      <c r="F44" s="16">
        <v>40000</v>
      </c>
      <c r="G44" s="16">
        <v>40000</v>
      </c>
      <c r="H44" s="16">
        <v>0</v>
      </c>
    </row>
    <row r="45" spans="2:8" x14ac:dyDescent="0.35">
      <c r="B45" s="14">
        <v>11343</v>
      </c>
      <c r="C45" s="15" t="str">
        <f>"ELEVEM LTDA  ME"</f>
        <v>ELEVEM LTDA  ME</v>
      </c>
      <c r="D45" s="9">
        <v>45001</v>
      </c>
      <c r="E45" s="9">
        <v>46462</v>
      </c>
      <c r="F45" s="16">
        <v>38654.9</v>
      </c>
      <c r="G45" s="16">
        <v>30632.91</v>
      </c>
      <c r="H45" s="16">
        <v>8021.99</v>
      </c>
    </row>
    <row r="46" spans="2:8" x14ac:dyDescent="0.35">
      <c r="B46" s="14">
        <v>11345</v>
      </c>
      <c r="C46" s="15" t="str">
        <f>"CONSORCIO OPERACIONAL DO SISTEMA BILHETAGEM"</f>
        <v>CONSORCIO OPERACIONAL DO SISTEMA BILHETAGEM</v>
      </c>
      <c r="D46" s="9">
        <v>44984</v>
      </c>
      <c r="E46" s="9">
        <v>46810</v>
      </c>
      <c r="F46" s="16">
        <v>3375</v>
      </c>
      <c r="G46" s="16">
        <v>1600.05</v>
      </c>
      <c r="H46" s="16">
        <v>1774.95</v>
      </c>
    </row>
    <row r="47" spans="2:8" x14ac:dyDescent="0.35">
      <c r="B47" s="14">
        <v>11354</v>
      </c>
      <c r="C47" s="15" t="str">
        <f>"LUIZ  ALBERTO  SALOMAO"</f>
        <v>LUIZ  ALBERTO  SALOMAO</v>
      </c>
      <c r="D47" s="9">
        <v>45016</v>
      </c>
      <c r="E47" s="9">
        <v>46477</v>
      </c>
      <c r="F47" s="16">
        <v>669000</v>
      </c>
      <c r="G47" s="16">
        <v>235788.75</v>
      </c>
      <c r="H47" s="16">
        <v>433211.25</v>
      </c>
    </row>
    <row r="48" spans="2:8" x14ac:dyDescent="0.35">
      <c r="B48" s="14">
        <v>11361</v>
      </c>
      <c r="C48" s="15" t="str">
        <f>"RICCI DIARIOS PUBLICIDADE E AGENCIAMENTO"</f>
        <v>RICCI DIARIOS PUBLICIDADE E AGENCIAMENTO</v>
      </c>
      <c r="D48" s="9">
        <v>45028</v>
      </c>
      <c r="E48" s="9">
        <v>46855</v>
      </c>
      <c r="F48" s="16">
        <v>2117696.7200000002</v>
      </c>
      <c r="G48" s="16">
        <v>2098032.36</v>
      </c>
      <c r="H48" s="16">
        <v>19664.36</v>
      </c>
    </row>
    <row r="49" spans="2:8" x14ac:dyDescent="0.35">
      <c r="B49" s="14">
        <v>11363</v>
      </c>
      <c r="C49" s="15" t="str">
        <f>"CONSORCIO OTIMO DE BILHETAGEM ELETRONICA"</f>
        <v>CONSORCIO OTIMO DE BILHETAGEM ELETRONICA</v>
      </c>
      <c r="D49" s="9">
        <v>45037</v>
      </c>
      <c r="E49" s="9">
        <v>46863</v>
      </c>
      <c r="F49" s="16">
        <v>1391.4</v>
      </c>
      <c r="G49" s="16">
        <v>640</v>
      </c>
      <c r="H49" s="16">
        <v>751.4</v>
      </c>
    </row>
    <row r="50" spans="2:8" x14ac:dyDescent="0.35">
      <c r="B50" s="14">
        <v>11390</v>
      </c>
      <c r="C50" s="15" t="str">
        <f>"MCR SISTEMAS E CONSULTORIA LTDA"</f>
        <v>MCR SISTEMAS E CONSULTORIA LTDA</v>
      </c>
      <c r="D50" s="9">
        <v>45114</v>
      </c>
      <c r="E50" s="9">
        <v>46575</v>
      </c>
      <c r="F50" s="16">
        <v>597573.32999999996</v>
      </c>
      <c r="G50" s="16">
        <v>597573.29</v>
      </c>
      <c r="H50" s="16">
        <v>0.04</v>
      </c>
    </row>
    <row r="51" spans="2:8" x14ac:dyDescent="0.35">
      <c r="B51" s="14">
        <v>11399</v>
      </c>
      <c r="C51" s="15" t="str">
        <f>"MGS MINAS GERAIS ADMINISTRACAO E SER SA"</f>
        <v>MGS MINAS GERAIS ADMINISTRACAO E SER SA</v>
      </c>
      <c r="D51" s="9">
        <v>45134</v>
      </c>
      <c r="E51" s="9">
        <v>46595</v>
      </c>
      <c r="F51" s="16">
        <v>83556367.549999997</v>
      </c>
      <c r="G51" s="16">
        <v>52189005.390000001</v>
      </c>
      <c r="H51" s="16">
        <v>31367362.16</v>
      </c>
    </row>
    <row r="52" spans="2:8" x14ac:dyDescent="0.35">
      <c r="B52" s="14">
        <v>11408</v>
      </c>
      <c r="C52" s="15" t="str">
        <f>"SECRETARIA DE ESTADO DE GOVERNO"</f>
        <v>SECRETARIA DE ESTADO DE GOVERNO</v>
      </c>
      <c r="D52" s="9">
        <v>45168</v>
      </c>
      <c r="E52" s="9">
        <v>46995</v>
      </c>
      <c r="F52" s="16">
        <v>384827.52</v>
      </c>
      <c r="G52" s="16">
        <v>187732.16</v>
      </c>
      <c r="H52" s="16">
        <v>197095.36</v>
      </c>
    </row>
    <row r="53" spans="2:8" x14ac:dyDescent="0.35">
      <c r="B53" s="14">
        <v>11410</v>
      </c>
      <c r="C53" s="15" t="str">
        <f>"ABATEX INDUSTRIA E COMERCIO LTDA"</f>
        <v>ABATEX INDUSTRIA E COMERCIO LTDA</v>
      </c>
      <c r="D53" s="9">
        <v>45180</v>
      </c>
      <c r="E53" s="9">
        <v>47007</v>
      </c>
      <c r="F53" s="16">
        <v>285999.65000000002</v>
      </c>
      <c r="G53" s="16">
        <v>285999.65000000002</v>
      </c>
      <c r="H53" s="16">
        <v>0</v>
      </c>
    </row>
    <row r="54" spans="2:8" x14ac:dyDescent="0.35">
      <c r="B54" s="14">
        <v>11416</v>
      </c>
      <c r="C54" s="15" t="str">
        <f>"AC CLEAN COMERCIO DE LIMPEZA EIRELI  ME"</f>
        <v>AC CLEAN COMERCIO DE LIMPEZA EIRELI  ME</v>
      </c>
      <c r="D54" s="9">
        <v>45175</v>
      </c>
      <c r="E54" s="9">
        <v>46636</v>
      </c>
      <c r="F54" s="16">
        <v>248863.79</v>
      </c>
      <c r="G54" s="16">
        <v>157787.04</v>
      </c>
      <c r="H54" s="16">
        <v>91076.75</v>
      </c>
    </row>
    <row r="55" spans="2:8" x14ac:dyDescent="0.35">
      <c r="B55" s="14">
        <v>11425</v>
      </c>
      <c r="C55" s="15" t="str">
        <f>"HIPERTEXTO COMUNICACAO EMPRESARIAL SOCIEDADE SIMPLES   PURA"</f>
        <v>HIPERTEXTO COMUNICACAO EMPRESARIAL SOCIEDADE SIMPLES   PURA</v>
      </c>
      <c r="D55" s="9">
        <v>45189</v>
      </c>
      <c r="E55" s="9">
        <v>46650</v>
      </c>
      <c r="F55" s="16">
        <v>1969005.59</v>
      </c>
      <c r="G55" s="16">
        <v>1473936.78</v>
      </c>
      <c r="H55" s="16">
        <v>495068.81</v>
      </c>
    </row>
    <row r="56" spans="2:8" x14ac:dyDescent="0.35">
      <c r="B56" s="14">
        <v>11429</v>
      </c>
      <c r="C56" s="15" t="str">
        <f>"FORT SECURE TECNOLOGIA LTDA"</f>
        <v>FORT SECURE TECNOLOGIA LTDA</v>
      </c>
      <c r="D56" s="9">
        <v>45197</v>
      </c>
      <c r="E56" s="9">
        <v>46383</v>
      </c>
      <c r="F56" s="16">
        <v>233820</v>
      </c>
      <c r="G56" s="16">
        <v>233820</v>
      </c>
      <c r="H56" s="16">
        <v>0</v>
      </c>
    </row>
    <row r="57" spans="2:8" x14ac:dyDescent="0.35">
      <c r="B57" s="14">
        <v>11442</v>
      </c>
      <c r="C57" s="15" t="str">
        <f>"CENTRIC SYSTEM BRAZIL SOFTWARES LTDA"</f>
        <v>CENTRIC SYSTEM BRAZIL SOFTWARES LTDA</v>
      </c>
      <c r="D57" s="9">
        <v>45253</v>
      </c>
      <c r="E57" s="9">
        <v>47080</v>
      </c>
      <c r="F57" s="16">
        <v>55350</v>
      </c>
      <c r="G57" s="16">
        <v>52733.4</v>
      </c>
      <c r="H57" s="16">
        <v>2616.6</v>
      </c>
    </row>
    <row r="58" spans="2:8" x14ac:dyDescent="0.35">
      <c r="B58" s="14">
        <v>11452</v>
      </c>
      <c r="C58" s="15" t="str">
        <f>"PREFEITURA MUNICIPAL DE LAGOA SANTA"</f>
        <v>PREFEITURA MUNICIPAL DE LAGOA SANTA</v>
      </c>
      <c r="D58" s="9">
        <v>45236</v>
      </c>
      <c r="E58" s="9">
        <v>46426</v>
      </c>
      <c r="F58" s="16">
        <v>3700000</v>
      </c>
      <c r="G58" s="16">
        <v>3700000</v>
      </c>
      <c r="H58" s="16">
        <v>0</v>
      </c>
    </row>
    <row r="59" spans="2:8" x14ac:dyDescent="0.35">
      <c r="B59" s="14">
        <v>11456</v>
      </c>
      <c r="C59" s="15" t="str">
        <f>"INTERNATIONAL FINANCE CORPORATION"</f>
        <v>INTERNATIONAL FINANCE CORPORATION</v>
      </c>
      <c r="D59" s="9">
        <v>45237</v>
      </c>
      <c r="E59" s="9">
        <v>46333</v>
      </c>
      <c r="F59" s="16">
        <v>18185513.510000002</v>
      </c>
      <c r="G59" s="16">
        <v>18008652.699999999</v>
      </c>
      <c r="H59" s="16">
        <v>176860.81</v>
      </c>
    </row>
    <row r="60" spans="2:8" x14ac:dyDescent="0.35">
      <c r="B60" s="14">
        <v>11460</v>
      </c>
      <c r="C60" s="15" t="str">
        <f>"AVATZ GEOLOGIA E ENGENHARIA AMBIENTAL E SEGURANCA DO TRABALHO LTDA"</f>
        <v>AVATZ GEOLOGIA E ENGENHARIA AMBIENTAL E SEGURANCA DO TRABALHO LTDA</v>
      </c>
      <c r="D60" s="9">
        <v>45257</v>
      </c>
      <c r="E60" s="9">
        <v>46353</v>
      </c>
      <c r="F60" s="16">
        <v>110718.91</v>
      </c>
      <c r="G60" s="16">
        <v>110718.91</v>
      </c>
      <c r="H60" s="16">
        <v>0</v>
      </c>
    </row>
    <row r="61" spans="2:8" x14ac:dyDescent="0.35">
      <c r="B61" s="14">
        <v>11467</v>
      </c>
      <c r="C61" s="15" t="str">
        <f>"PRODEMGE  CIA DE TECNOL DA INFORMACAO DE MG"</f>
        <v>PRODEMGE  CIA DE TECNOL DA INFORMACAO DE MG</v>
      </c>
      <c r="D61" s="9">
        <v>45274</v>
      </c>
      <c r="E61" s="9">
        <v>46370</v>
      </c>
      <c r="F61" s="16">
        <v>1792296</v>
      </c>
      <c r="G61" s="16">
        <v>991102.6</v>
      </c>
      <c r="H61" s="16">
        <v>801193.4</v>
      </c>
    </row>
    <row r="62" spans="2:8" x14ac:dyDescent="0.35">
      <c r="B62" s="14">
        <v>11473</v>
      </c>
      <c r="C62" s="15" t="str">
        <f>"NP CAPACITACAO E SOLUCOES TECNOLOGICAS LTDA"</f>
        <v>NP CAPACITACAO E SOLUCOES TECNOLOGICAS LTDA</v>
      </c>
      <c r="D62" s="9">
        <v>45266</v>
      </c>
      <c r="E62" s="9">
        <v>46362</v>
      </c>
      <c r="F62" s="16">
        <v>70920</v>
      </c>
      <c r="G62" s="16">
        <v>70920</v>
      </c>
      <c r="H62" s="16">
        <v>0</v>
      </c>
    </row>
    <row r="63" spans="2:8" x14ac:dyDescent="0.35">
      <c r="B63" s="14">
        <v>11478</v>
      </c>
      <c r="C63" s="15" t="str">
        <f>"GRANDE HOTEL DE ARAXA E TERMAS LTDA"</f>
        <v>GRANDE HOTEL DE ARAXA E TERMAS LTDA</v>
      </c>
      <c r="D63" s="9">
        <v>45274</v>
      </c>
      <c r="E63" s="9">
        <v>47144</v>
      </c>
      <c r="F63" s="16">
        <v>6244757.1399999997</v>
      </c>
      <c r="G63" s="16">
        <v>6201226.0499999998</v>
      </c>
      <c r="H63" s="16">
        <v>43531.09</v>
      </c>
    </row>
    <row r="64" spans="2:8" x14ac:dyDescent="0.35">
      <c r="B64" s="14">
        <v>11506</v>
      </c>
      <c r="C64" s="15" t="str">
        <f>"CRU INTERNATIONAL LIMITED"</f>
        <v>CRU INTERNATIONAL LIMITED</v>
      </c>
      <c r="D64" s="9">
        <v>45170</v>
      </c>
      <c r="E64" s="9">
        <v>46630</v>
      </c>
      <c r="F64" s="16">
        <v>213316.38</v>
      </c>
      <c r="G64" s="16">
        <v>160236.29</v>
      </c>
      <c r="H64" s="16">
        <v>53080.09</v>
      </c>
    </row>
    <row r="65" spans="2:8" x14ac:dyDescent="0.35">
      <c r="B65" s="14">
        <v>11509</v>
      </c>
      <c r="C65" s="15" t="str">
        <f>"CEMIG DISTRIBUICAO S A"</f>
        <v>CEMIG DISTRIBUICAO S A</v>
      </c>
      <c r="D65" s="9">
        <v>45348</v>
      </c>
      <c r="E65" s="9">
        <v>46444</v>
      </c>
      <c r="F65" s="16">
        <v>165600</v>
      </c>
      <c r="G65" s="16">
        <v>90344.29</v>
      </c>
      <c r="H65" s="16">
        <v>75255.710000000006</v>
      </c>
    </row>
    <row r="66" spans="2:8" x14ac:dyDescent="0.35">
      <c r="B66" s="14">
        <v>11538</v>
      </c>
      <c r="C66" s="15" t="str">
        <f>"CONTI CONSULTORIA EM TECNOLOGIA DA INFOR"</f>
        <v>CONTI CONSULTORIA EM TECNOLOGIA DA INFOR</v>
      </c>
      <c r="D66" s="9">
        <v>45412</v>
      </c>
      <c r="E66" s="9">
        <v>47238</v>
      </c>
      <c r="F66" s="16">
        <v>95648.52</v>
      </c>
      <c r="G66" s="16">
        <v>57156.95</v>
      </c>
      <c r="H66" s="16">
        <v>38491.57</v>
      </c>
    </row>
    <row r="67" spans="2:8" x14ac:dyDescent="0.35">
      <c r="B67" s="14">
        <v>11539</v>
      </c>
      <c r="C67" s="15" t="str">
        <f>"ESCRITORIO DAS NACOES UNIDAS SERVICO DE  PROJETOS"</f>
        <v>ESCRITORIO DAS NACOES UNIDAS SERVICO DE  PROJETOS</v>
      </c>
      <c r="D67" s="9">
        <v>45390</v>
      </c>
      <c r="E67" s="9">
        <v>46607</v>
      </c>
      <c r="F67" s="16">
        <v>17860269.719999999</v>
      </c>
      <c r="G67" s="16">
        <v>1122278.3899999999</v>
      </c>
      <c r="H67" s="16">
        <v>16737991.33</v>
      </c>
    </row>
    <row r="68" spans="2:8" x14ac:dyDescent="0.35">
      <c r="B68" s="14">
        <v>11541</v>
      </c>
      <c r="C68" s="15" t="str">
        <f>"ZENITE INFORMACAO E CONSULTORIA S A"</f>
        <v>ZENITE INFORMACAO E CONSULTORIA S A</v>
      </c>
      <c r="D68" s="9">
        <v>45421</v>
      </c>
      <c r="E68" s="9">
        <v>46516</v>
      </c>
      <c r="F68" s="16">
        <v>28685.21</v>
      </c>
      <c r="G68" s="16">
        <v>28685.21</v>
      </c>
      <c r="H68" s="16">
        <v>0</v>
      </c>
    </row>
    <row r="69" spans="2:8" x14ac:dyDescent="0.35">
      <c r="B69" s="14">
        <v>11543</v>
      </c>
      <c r="C69" s="15" t="str">
        <f>"RADAR PPP LTDA"</f>
        <v>RADAR PPP LTDA</v>
      </c>
      <c r="D69" s="9">
        <v>45433</v>
      </c>
      <c r="E69" s="9">
        <v>46528</v>
      </c>
      <c r="F69" s="16">
        <v>1004967.84</v>
      </c>
      <c r="G69" s="16">
        <v>804920.72</v>
      </c>
      <c r="H69" s="16">
        <v>200047.12</v>
      </c>
    </row>
    <row r="70" spans="2:8" x14ac:dyDescent="0.35">
      <c r="B70" s="14">
        <v>11544</v>
      </c>
      <c r="C70" s="15" t="str">
        <f>"KEPLER VIAGENS EVENTOS E TURISMO EIRELI"</f>
        <v>KEPLER VIAGENS EVENTOS E TURISMO EIRELI</v>
      </c>
      <c r="D70" s="9">
        <v>45433</v>
      </c>
      <c r="E70" s="9">
        <v>46347</v>
      </c>
      <c r="F70" s="16">
        <v>1006231.79</v>
      </c>
      <c r="G70" s="16">
        <v>574920.52</v>
      </c>
      <c r="H70" s="16">
        <v>431311.27</v>
      </c>
    </row>
    <row r="71" spans="2:8" x14ac:dyDescent="0.35">
      <c r="B71" s="14">
        <v>11546</v>
      </c>
      <c r="C71" s="15" t="str">
        <f>"GONTIJO CALDAS  FLEURY ADVOGADOS ASSOCIADOS"</f>
        <v>GONTIJO CALDAS  FLEURY ADVOGADOS ASSOCIADOS</v>
      </c>
      <c r="D71" s="9">
        <v>45428</v>
      </c>
      <c r="E71" s="9">
        <v>47253</v>
      </c>
      <c r="F71" s="16">
        <v>50000</v>
      </c>
      <c r="G71" s="16">
        <v>40000</v>
      </c>
      <c r="H71" s="16">
        <v>10000</v>
      </c>
    </row>
    <row r="72" spans="2:8" x14ac:dyDescent="0.35">
      <c r="B72" s="14">
        <v>11568</v>
      </c>
      <c r="C72" s="15" t="str">
        <f>"CEMIG DISTRIBUICAO S A"</f>
        <v>CEMIG DISTRIBUICAO S A</v>
      </c>
      <c r="D72" s="9">
        <v>45439</v>
      </c>
      <c r="E72" s="9">
        <v>46534</v>
      </c>
      <c r="F72" s="16">
        <v>545544.03</v>
      </c>
      <c r="G72" s="16">
        <v>512721.05</v>
      </c>
      <c r="H72" s="16">
        <v>32822.980000000003</v>
      </c>
    </row>
    <row r="73" spans="2:8" x14ac:dyDescent="0.35">
      <c r="B73" s="14">
        <v>11635</v>
      </c>
      <c r="C73" s="15" t="str">
        <f>"OPEN TREINAMENTOS EMPRESARIAIS E EDITORA LTDA EPP"</f>
        <v>OPEN TREINAMENTOS EMPRESARIAIS E EDITORA LTDA EPP</v>
      </c>
      <c r="D73" s="9">
        <v>45482</v>
      </c>
      <c r="E73" s="9">
        <v>46942</v>
      </c>
      <c r="F73" s="16">
        <v>30610.7</v>
      </c>
      <c r="G73" s="16">
        <v>22692.09</v>
      </c>
      <c r="H73" s="16">
        <v>7918.61</v>
      </c>
    </row>
    <row r="74" spans="2:8" x14ac:dyDescent="0.35">
      <c r="B74" s="14">
        <v>11646</v>
      </c>
      <c r="C74" s="15" t="str">
        <f>"CARMO E DELGADO GEOLOGOS CONSULT LTDA"</f>
        <v>CARMO E DELGADO GEOLOGOS CONSULT LTDA</v>
      </c>
      <c r="D74" s="9">
        <v>45483</v>
      </c>
      <c r="E74" s="9">
        <v>47006</v>
      </c>
      <c r="F74" s="16">
        <v>1477799</v>
      </c>
      <c r="G74" s="16">
        <v>590688.18000000005</v>
      </c>
      <c r="H74" s="16">
        <v>887110.82</v>
      </c>
    </row>
    <row r="75" spans="2:8" x14ac:dyDescent="0.35">
      <c r="B75" s="14">
        <v>11647</v>
      </c>
      <c r="C75" s="15" t="str">
        <f>"PREFEITURA MUNICIPAL DE LAMBARI"</f>
        <v>PREFEITURA MUNICIPAL DE LAMBARI</v>
      </c>
      <c r="D75" s="9">
        <v>45485</v>
      </c>
      <c r="E75" s="9">
        <v>2958465</v>
      </c>
      <c r="F75" s="16">
        <v>32500000</v>
      </c>
      <c r="G75" s="16">
        <v>0</v>
      </c>
      <c r="H75" s="16">
        <v>32500000</v>
      </c>
    </row>
    <row r="76" spans="2:8" x14ac:dyDescent="0.35">
      <c r="B76" s="14">
        <v>11655</v>
      </c>
      <c r="C76" s="15" t="str">
        <f>"LICITAR DIGITAL SERVICOS EM TECNOLOGIA DA INFORMACAO LTDA"</f>
        <v>LICITAR DIGITAL SERVICOS EM TECNOLOGIA DA INFORMACAO LTDA</v>
      </c>
      <c r="D76" s="9">
        <v>45504</v>
      </c>
      <c r="E76" s="9">
        <v>47329</v>
      </c>
      <c r="F76" s="16">
        <v>952092.12</v>
      </c>
      <c r="G76" s="16">
        <v>432916.42</v>
      </c>
      <c r="H76" s="16">
        <v>519175.7</v>
      </c>
    </row>
    <row r="77" spans="2:8" x14ac:dyDescent="0.35">
      <c r="B77" s="14">
        <v>11659</v>
      </c>
      <c r="C77" s="15" t="str">
        <f>"CAUANNA  SERVICOS DE GRAFICA  RAPIDA  LTDA"</f>
        <v>CAUANNA  SERVICOS DE GRAFICA  RAPIDA  LTDA</v>
      </c>
      <c r="D77" s="9">
        <v>45530</v>
      </c>
      <c r="E77" s="9">
        <v>46625</v>
      </c>
      <c r="F77" s="16">
        <v>2450140.88</v>
      </c>
      <c r="G77" s="16">
        <v>1536221.23</v>
      </c>
      <c r="H77" s="16">
        <v>913919.65</v>
      </c>
    </row>
    <row r="78" spans="2:8" x14ac:dyDescent="0.35">
      <c r="B78" s="14">
        <v>11665</v>
      </c>
      <c r="C78" s="15" t="str">
        <f>"PTV DO BRASIL  IMPORTACAO  LICENCAS  E  SUPORTE   DE SOFTWARE  LTDA"</f>
        <v>PTV DO BRASIL  IMPORTACAO  LICENCAS  E  SUPORTE   DE SOFTWARE  LTDA</v>
      </c>
      <c r="D78" s="9">
        <v>45531</v>
      </c>
      <c r="E78" s="9">
        <v>46657</v>
      </c>
      <c r="F78" s="16">
        <v>1867210</v>
      </c>
      <c r="G78" s="16">
        <v>1867210</v>
      </c>
      <c r="H78" s="16">
        <v>0</v>
      </c>
    </row>
    <row r="79" spans="2:8" x14ac:dyDescent="0.35">
      <c r="B79" s="14">
        <v>11669</v>
      </c>
      <c r="C79" s="15" t="str">
        <f>"EDITORA NEGOCIOS PUBLICOS DO BRASIL EIRELI"</f>
        <v>EDITORA NEGOCIOS PUBLICOS DO BRASIL EIRELI</v>
      </c>
      <c r="D79" s="9">
        <v>45538</v>
      </c>
      <c r="E79" s="9">
        <v>46633</v>
      </c>
      <c r="F79" s="16">
        <v>23071.279999999999</v>
      </c>
      <c r="G79" s="16">
        <v>23071.279999999999</v>
      </c>
      <c r="H79" s="16">
        <v>0</v>
      </c>
    </row>
    <row r="80" spans="2:8" x14ac:dyDescent="0.35">
      <c r="B80" s="14">
        <v>11672</v>
      </c>
      <c r="C80" s="15" t="str">
        <f>"NACIONAL GAS  BUTANO DISTRIBUIODORA  LTDA"</f>
        <v>NACIONAL GAS  BUTANO DISTRIBUIODORA  LTDA</v>
      </c>
      <c r="D80" s="9">
        <v>45546</v>
      </c>
      <c r="E80" s="9">
        <v>47007</v>
      </c>
      <c r="F80" s="16">
        <v>664350</v>
      </c>
      <c r="G80" s="16">
        <v>184447.51</v>
      </c>
      <c r="H80" s="16">
        <v>479902.49</v>
      </c>
    </row>
    <row r="81" spans="2:8" x14ac:dyDescent="0.35">
      <c r="B81" s="14">
        <v>11690</v>
      </c>
      <c r="C81" s="15" t="str">
        <f>"SOFTEXPERT SOFTWARE SA"</f>
        <v>SOFTEXPERT SOFTWARE SA</v>
      </c>
      <c r="D81" s="9">
        <v>45576</v>
      </c>
      <c r="E81" s="9">
        <v>47401</v>
      </c>
      <c r="F81" s="16">
        <v>1397336.45</v>
      </c>
      <c r="G81" s="16">
        <v>659382.84</v>
      </c>
      <c r="H81" s="16">
        <v>737953.61</v>
      </c>
    </row>
    <row r="82" spans="2:8" x14ac:dyDescent="0.35">
      <c r="B82" s="14">
        <v>11694</v>
      </c>
      <c r="C82" s="15" t="str">
        <f>"GRI BRAZIL EVENTOS LTDA"</f>
        <v>GRI BRAZIL EVENTOS LTDA</v>
      </c>
      <c r="D82" s="9">
        <v>45576</v>
      </c>
      <c r="E82" s="9">
        <v>46671</v>
      </c>
      <c r="F82" s="16">
        <v>898191</v>
      </c>
      <c r="G82" s="16">
        <v>460255.92</v>
      </c>
      <c r="H82" s="16">
        <v>437935.08</v>
      </c>
    </row>
    <row r="83" spans="2:8" x14ac:dyDescent="0.35">
      <c r="B83" s="14">
        <v>11698</v>
      </c>
      <c r="C83" s="15" t="str">
        <f>"PRAXIS SISTEMAS DE INFORMATICA LTDA ME"</f>
        <v>PRAXIS SISTEMAS DE INFORMATICA LTDA ME</v>
      </c>
      <c r="D83" s="9">
        <v>45581</v>
      </c>
      <c r="E83" s="9">
        <v>46676</v>
      </c>
      <c r="F83" s="16">
        <v>29347.94</v>
      </c>
      <c r="G83" s="16">
        <v>19396.8</v>
      </c>
      <c r="H83" s="16">
        <v>9951.14</v>
      </c>
    </row>
    <row r="84" spans="2:8" x14ac:dyDescent="0.35">
      <c r="B84" s="14">
        <v>11702</v>
      </c>
      <c r="C84" s="15" t="str">
        <f>"PRODEMGE  CIA DE TECNOL DA INFORMACAO DE MG"</f>
        <v>PRODEMGE  CIA DE TECNOL DA INFORMACAO DE MG</v>
      </c>
      <c r="D84" s="9">
        <v>45589</v>
      </c>
      <c r="E84" s="9">
        <v>46319</v>
      </c>
      <c r="F84" s="16">
        <v>1169864</v>
      </c>
      <c r="G84" s="16">
        <v>42259.92</v>
      </c>
      <c r="H84" s="16">
        <v>1127604.08</v>
      </c>
    </row>
    <row r="85" spans="2:8" x14ac:dyDescent="0.35">
      <c r="B85" s="14">
        <v>11704</v>
      </c>
      <c r="C85" s="15" t="str">
        <f>"CLICK TI TECNOLOGIA LTDA"</f>
        <v>CLICK TI TECNOLOGIA LTDA</v>
      </c>
      <c r="D85" s="9">
        <v>45595</v>
      </c>
      <c r="E85" s="9">
        <v>46690</v>
      </c>
      <c r="F85" s="16">
        <v>190000</v>
      </c>
      <c r="G85" s="16">
        <v>190000</v>
      </c>
      <c r="H85" s="16">
        <v>0</v>
      </c>
    </row>
    <row r="86" spans="2:8" x14ac:dyDescent="0.35">
      <c r="B86" s="14">
        <v>11706</v>
      </c>
      <c r="C86" s="15" t="str">
        <f>"AGENES S  DA SILVA SUPRIMENTOS DE INFORMATICA   ME"</f>
        <v>AGENES S  DA SILVA SUPRIMENTOS DE INFORMATICA   ME</v>
      </c>
      <c r="D86" s="9">
        <v>45600</v>
      </c>
      <c r="E86" s="9">
        <v>46330</v>
      </c>
      <c r="F86" s="16">
        <v>41239.65</v>
      </c>
      <c r="G86" s="16">
        <v>41239.65</v>
      </c>
      <c r="H86" s="16">
        <v>0</v>
      </c>
    </row>
    <row r="87" spans="2:8" x14ac:dyDescent="0.35">
      <c r="B87" s="14">
        <v>11707</v>
      </c>
      <c r="C87" s="15" t="str">
        <f>"OLIVEIRA ANDRADE SERVICOS DE MONITORAMENTO DE INFORMACOES LTDA"</f>
        <v>OLIVEIRA ANDRADE SERVICOS DE MONITORAMENTO DE INFORMACOES LTDA</v>
      </c>
      <c r="D87" s="9">
        <v>45602</v>
      </c>
      <c r="E87" s="9">
        <v>46696</v>
      </c>
      <c r="F87" s="16">
        <v>156739.68</v>
      </c>
      <c r="G87" s="16">
        <v>98252.55</v>
      </c>
      <c r="H87" s="16">
        <v>58487.13</v>
      </c>
    </row>
    <row r="88" spans="2:8" x14ac:dyDescent="0.35">
      <c r="B88" s="14">
        <v>11718</v>
      </c>
      <c r="C88" s="15" t="str">
        <f>"CEMIG DISTRIBUICAO S A"</f>
        <v>CEMIG DISTRIBUICAO S A</v>
      </c>
      <c r="D88" s="9">
        <v>45607</v>
      </c>
      <c r="E88" s="9">
        <v>46337</v>
      </c>
      <c r="F88" s="16">
        <v>607500</v>
      </c>
      <c r="G88" s="16">
        <v>421670.82</v>
      </c>
      <c r="H88" s="16">
        <v>185829.18</v>
      </c>
    </row>
    <row r="89" spans="2:8" x14ac:dyDescent="0.35">
      <c r="B89" s="14">
        <v>11727</v>
      </c>
      <c r="C89" s="15" t="str">
        <f>"MS SEGURANCA  ELETRONICA LTDA"</f>
        <v>MS SEGURANCA  ELETRONICA LTDA</v>
      </c>
      <c r="D89" s="9">
        <v>45632</v>
      </c>
      <c r="E89" s="9">
        <v>46362</v>
      </c>
      <c r="F89" s="16">
        <v>43968</v>
      </c>
      <c r="G89" s="16">
        <v>38472</v>
      </c>
      <c r="H89" s="16">
        <v>5496</v>
      </c>
    </row>
    <row r="90" spans="2:8" x14ac:dyDescent="0.35">
      <c r="B90" s="14">
        <v>11728</v>
      </c>
      <c r="C90" s="15" t="str">
        <f>"SELBETTI GESTAO DE DOCUMENTOS S A"</f>
        <v>SELBETTI GESTAO DE DOCUMENTOS S A</v>
      </c>
      <c r="D90" s="9">
        <v>45622</v>
      </c>
      <c r="E90" s="9">
        <v>46716</v>
      </c>
      <c r="F90" s="16">
        <v>353306.6</v>
      </c>
      <c r="G90" s="16">
        <v>150941.29999999999</v>
      </c>
      <c r="H90" s="16">
        <v>202365.3</v>
      </c>
    </row>
    <row r="91" spans="2:8" x14ac:dyDescent="0.35">
      <c r="B91" s="14">
        <v>11732</v>
      </c>
      <c r="C91" s="15" t="str">
        <f>"TELEFONICA BRASIL SA"</f>
        <v>TELEFONICA BRASIL SA</v>
      </c>
      <c r="D91" s="9">
        <v>45643</v>
      </c>
      <c r="E91" s="9">
        <v>46373</v>
      </c>
      <c r="F91" s="16">
        <v>400509.6</v>
      </c>
      <c r="G91" s="16">
        <v>244973.02</v>
      </c>
      <c r="H91" s="16">
        <v>155536.57999999999</v>
      </c>
    </row>
    <row r="92" spans="2:8" x14ac:dyDescent="0.35">
      <c r="B92" s="14">
        <v>11744</v>
      </c>
      <c r="C92" s="15" t="str">
        <f>"SECRETARIA DE ESTADO DE AGRICULTURA PECUARIA E ABASTECIMENTO"</f>
        <v>SECRETARIA DE ESTADO DE AGRICULTURA PECUARIA E ABASTECIMENTO</v>
      </c>
      <c r="D92" s="9">
        <v>45656</v>
      </c>
      <c r="E92" s="9">
        <v>46537</v>
      </c>
      <c r="F92" s="16">
        <v>5186330.3</v>
      </c>
      <c r="G92" s="16">
        <v>2512436.2999999998</v>
      </c>
      <c r="H92" s="16">
        <v>2673894</v>
      </c>
    </row>
    <row r="93" spans="2:8" x14ac:dyDescent="0.35">
      <c r="B93" s="14">
        <v>11746</v>
      </c>
      <c r="C93" s="15" t="str">
        <f>"DATACOP COMERCIO E SERVICOS DE MICROFILMAGEM LTDA  EPP"</f>
        <v>DATACOP COMERCIO E SERVICOS DE MICROFILMAGEM LTDA  EPP</v>
      </c>
      <c r="D93" s="9">
        <v>45663</v>
      </c>
      <c r="E93" s="9">
        <v>47489</v>
      </c>
      <c r="F93" s="16">
        <v>34000</v>
      </c>
      <c r="G93" s="16">
        <v>8176.49</v>
      </c>
      <c r="H93" s="16">
        <v>25823.51</v>
      </c>
    </row>
    <row r="94" spans="2:8" x14ac:dyDescent="0.35">
      <c r="B94" s="14">
        <v>11757</v>
      </c>
      <c r="C94" s="15" t="str">
        <f>"LAVANDERIA MORRO CHIC LTDA"</f>
        <v>LAVANDERIA MORRO CHIC LTDA</v>
      </c>
      <c r="D94" s="9">
        <v>45685</v>
      </c>
      <c r="E94" s="9">
        <v>46415</v>
      </c>
      <c r="F94" s="16">
        <v>195744</v>
      </c>
      <c r="G94" s="16">
        <v>57239.99</v>
      </c>
      <c r="H94" s="16">
        <v>138504.01</v>
      </c>
    </row>
    <row r="95" spans="2:8" x14ac:dyDescent="0.35">
      <c r="B95" s="14">
        <v>11759</v>
      </c>
      <c r="C95" s="15" t="str">
        <f>"PREFEITURA MUNICIPAL DE CONTAGEM"</f>
        <v>PREFEITURA MUNICIPAL DE CONTAGEM</v>
      </c>
      <c r="D95" s="9">
        <v>45695</v>
      </c>
      <c r="E95" s="9">
        <v>46850</v>
      </c>
      <c r="F95" s="16">
        <v>5122781.78</v>
      </c>
      <c r="G95" s="16">
        <v>2304871.98</v>
      </c>
      <c r="H95" s="16">
        <v>2817909.8</v>
      </c>
    </row>
    <row r="96" spans="2:8" x14ac:dyDescent="0.35">
      <c r="B96" s="14">
        <v>11764</v>
      </c>
      <c r="C96" s="15" t="str">
        <f>"INSTITUTO BRASILEIRO DE GOVERNANCA CORPORATIVA"</f>
        <v>INSTITUTO BRASILEIRO DE GOVERNANCA CORPORATIVA</v>
      </c>
      <c r="D96" s="9">
        <v>45709</v>
      </c>
      <c r="E96" s="9">
        <v>46439</v>
      </c>
      <c r="F96" s="16">
        <v>19560</v>
      </c>
      <c r="G96" s="16">
        <v>0</v>
      </c>
      <c r="H96" s="16">
        <v>19560</v>
      </c>
    </row>
    <row r="97" spans="2:8" x14ac:dyDescent="0.35">
      <c r="B97" s="14">
        <v>11768</v>
      </c>
      <c r="C97" s="15" t="str">
        <f>"SOCIEDADE MINEIRA DE CULTURA"</f>
        <v>SOCIEDADE MINEIRA DE CULTURA</v>
      </c>
      <c r="D97" s="9">
        <v>45708</v>
      </c>
      <c r="E97" s="9">
        <v>47534</v>
      </c>
      <c r="F97" s="16">
        <v>259047</v>
      </c>
      <c r="G97" s="16">
        <v>259046.99</v>
      </c>
      <c r="H97" s="16">
        <v>0.01</v>
      </c>
    </row>
    <row r="98" spans="2:8" x14ac:dyDescent="0.35">
      <c r="B98" s="14">
        <v>11771</v>
      </c>
      <c r="C98" s="15" t="str">
        <f>"GRENA ARQUITETURA E URBANISMO LTDA"</f>
        <v>GRENA ARQUITETURA E URBANISMO LTDA</v>
      </c>
      <c r="D98" s="9">
        <v>45734</v>
      </c>
      <c r="E98" s="9">
        <v>46494</v>
      </c>
      <c r="F98" s="16">
        <v>337500</v>
      </c>
      <c r="G98" s="16">
        <v>209250</v>
      </c>
      <c r="H98" s="16">
        <v>128250</v>
      </c>
    </row>
    <row r="99" spans="2:8" x14ac:dyDescent="0.35">
      <c r="B99" s="14">
        <v>11772</v>
      </c>
      <c r="C99" s="15" t="str">
        <f>"DME DISTRIBUICAO SA  DMED"</f>
        <v>DME DISTRIBUICAO SA  DMED</v>
      </c>
      <c r="D99" s="9">
        <v>45728</v>
      </c>
      <c r="E99" s="9">
        <v>46458</v>
      </c>
      <c r="F99" s="16">
        <v>562990.51</v>
      </c>
      <c r="G99" s="16">
        <v>266475.59999999998</v>
      </c>
      <c r="H99" s="16">
        <v>296514.90999999997</v>
      </c>
    </row>
    <row r="100" spans="2:8" x14ac:dyDescent="0.35">
      <c r="B100" s="14">
        <v>11787</v>
      </c>
      <c r="C100" s="15" t="str">
        <f>"CHUBB SEGUROS BRASIL S A"</f>
        <v>CHUBB SEGUROS BRASIL S A</v>
      </c>
      <c r="D100" s="9">
        <v>45783</v>
      </c>
      <c r="E100" s="9">
        <v>46513</v>
      </c>
      <c r="F100" s="16">
        <v>74400</v>
      </c>
      <c r="G100" s="16">
        <v>50400</v>
      </c>
      <c r="H100" s="16">
        <v>24000</v>
      </c>
    </row>
    <row r="101" spans="2:8" x14ac:dyDescent="0.35">
      <c r="B101" s="14">
        <v>11788</v>
      </c>
      <c r="C101" s="15" t="str">
        <f>"BVIX SEGURADORA SA"</f>
        <v>BVIX SEGURADORA SA</v>
      </c>
      <c r="D101" s="9">
        <v>45799</v>
      </c>
      <c r="E101" s="9">
        <v>46529</v>
      </c>
      <c r="F101" s="16">
        <v>31708.89</v>
      </c>
      <c r="G101" s="16">
        <v>31708.89</v>
      </c>
      <c r="H101" s="16">
        <v>0</v>
      </c>
    </row>
    <row r="102" spans="2:8" x14ac:dyDescent="0.35">
      <c r="B102" s="14">
        <v>11794</v>
      </c>
      <c r="C102" s="15" t="str">
        <f>"IMTRAFF CONSULTORIA E PROJETOS DE ENGENHARIA"</f>
        <v>IMTRAFF CONSULTORIA E PROJETOS DE ENGENHARIA</v>
      </c>
      <c r="D102" s="9">
        <v>45408</v>
      </c>
      <c r="E102" s="9">
        <v>46274</v>
      </c>
      <c r="F102" s="16">
        <v>1326618.45</v>
      </c>
      <c r="G102" s="16">
        <v>1326618.45</v>
      </c>
      <c r="H102" s="16">
        <v>0</v>
      </c>
    </row>
    <row r="103" spans="2:8" x14ac:dyDescent="0.35">
      <c r="B103" s="14">
        <v>11806</v>
      </c>
      <c r="C103" s="15" t="str">
        <f>"LICITAPRO CONSULTORIA EM LICITACOES E GESTAO DE CONTRATOS UNIPESSOAL LTDA"</f>
        <v>LICITAPRO CONSULTORIA EM LICITACOES E GESTAO DE CONTRATOS UNIPESSOAL LTDA</v>
      </c>
      <c r="D103" s="9">
        <v>45796</v>
      </c>
      <c r="E103" s="9">
        <v>46526</v>
      </c>
      <c r="F103" s="16">
        <v>470950</v>
      </c>
      <c r="G103" s="16">
        <v>0</v>
      </c>
      <c r="H103" s="16">
        <v>470950</v>
      </c>
    </row>
    <row r="104" spans="2:8" x14ac:dyDescent="0.35">
      <c r="B104" s="14">
        <v>11815</v>
      </c>
      <c r="C104" s="15" t="str">
        <f>"PRICEWATERHOUSECOOPERS AUDITORES INDEPENDENTES"</f>
        <v>PRICEWATERHOUSECOOPERS AUDITORES INDEPENDENTES</v>
      </c>
      <c r="D104" s="9">
        <v>45831</v>
      </c>
      <c r="E104" s="9">
        <v>46896</v>
      </c>
      <c r="F104" s="16">
        <v>4680898.2</v>
      </c>
      <c r="G104" s="16">
        <v>1658296.95</v>
      </c>
      <c r="H104" s="16">
        <v>3022601.25</v>
      </c>
    </row>
    <row r="105" spans="2:8" x14ac:dyDescent="0.35">
      <c r="B105" s="14">
        <v>11816</v>
      </c>
      <c r="C105" s="15" t="str">
        <f>"SANITOP COMERCIAL LTDA"</f>
        <v>SANITOP COMERCIAL LTDA</v>
      </c>
      <c r="D105" s="9">
        <v>45835</v>
      </c>
      <c r="E105" s="9">
        <v>46565</v>
      </c>
      <c r="F105" s="16">
        <v>34778.86</v>
      </c>
      <c r="G105" s="16">
        <v>16323.07</v>
      </c>
      <c r="H105" s="16">
        <v>18455.79</v>
      </c>
    </row>
    <row r="106" spans="2:8" x14ac:dyDescent="0.35">
      <c r="B106" s="14">
        <v>11820</v>
      </c>
      <c r="C106" s="15" t="str">
        <f>"ATLAS GOVERNANCE TECNOLOGIA LTDA"</f>
        <v>ATLAS GOVERNANCE TECNOLOGIA LTDA</v>
      </c>
      <c r="D106" s="9">
        <v>45831</v>
      </c>
      <c r="E106" s="9">
        <v>47655</v>
      </c>
      <c r="F106" s="16">
        <v>440030.89</v>
      </c>
      <c r="G106" s="16">
        <v>173757.72</v>
      </c>
      <c r="H106" s="16">
        <v>266273.17</v>
      </c>
    </row>
    <row r="107" spans="2:8" x14ac:dyDescent="0.35">
      <c r="B107" s="14">
        <v>11821</v>
      </c>
      <c r="C107" s="15" t="str">
        <f>"90 TECNOLOGIA DA INFORMACAO LTDA"</f>
        <v>90 TECNOLOGIA DA INFORMACAO LTDA</v>
      </c>
      <c r="D107" s="9">
        <v>45833</v>
      </c>
      <c r="E107" s="9">
        <v>46562</v>
      </c>
      <c r="F107" s="16">
        <v>4956</v>
      </c>
      <c r="G107" s="16">
        <v>4956</v>
      </c>
      <c r="H107" s="16">
        <v>0</v>
      </c>
    </row>
    <row r="108" spans="2:8" x14ac:dyDescent="0.35">
      <c r="B108" s="14">
        <v>11822</v>
      </c>
      <c r="C108" s="15" t="str">
        <f>"90 TECNOLOGIA DA INFORMACAO LTDA"</f>
        <v>90 TECNOLOGIA DA INFORMACAO LTDA</v>
      </c>
      <c r="D108" s="9">
        <v>45833</v>
      </c>
      <c r="E108" s="9">
        <v>46562</v>
      </c>
      <c r="F108" s="16">
        <v>14250.82</v>
      </c>
      <c r="G108" s="16">
        <v>14250.82</v>
      </c>
      <c r="H108" s="16">
        <v>0</v>
      </c>
    </row>
    <row r="109" spans="2:8" x14ac:dyDescent="0.35">
      <c r="B109" s="14">
        <v>11829</v>
      </c>
      <c r="C109" s="15" t="str">
        <f>"FUNDACAO INSTITUTO DE PESQUISAS ECONOMICAS FIPE"</f>
        <v>FUNDACAO INSTITUTO DE PESQUISAS ECONOMICAS FIPE</v>
      </c>
      <c r="D109" s="9">
        <v>45841</v>
      </c>
      <c r="E109" s="9">
        <v>46329</v>
      </c>
      <c r="F109" s="16">
        <v>1677000</v>
      </c>
      <c r="G109" s="16">
        <v>1425450</v>
      </c>
      <c r="H109" s="16">
        <v>251550</v>
      </c>
    </row>
    <row r="110" spans="2:8" x14ac:dyDescent="0.35">
      <c r="B110" s="14">
        <v>11839</v>
      </c>
      <c r="C110" s="15" t="str">
        <f>"AGROMINAS COMERCIO DE PLANTAS LTDA"</f>
        <v>AGROMINAS COMERCIO DE PLANTAS LTDA</v>
      </c>
      <c r="D110" s="9">
        <v>45609</v>
      </c>
      <c r="E110" s="9">
        <v>46339</v>
      </c>
      <c r="F110" s="16">
        <v>344300</v>
      </c>
      <c r="G110" s="16">
        <v>0</v>
      </c>
      <c r="H110" s="16">
        <v>344300</v>
      </c>
    </row>
    <row r="111" spans="2:8" x14ac:dyDescent="0.35">
      <c r="B111" s="14">
        <v>11842</v>
      </c>
      <c r="C111" s="15" t="str">
        <f>"B3 S A   BRASIL BOLSA BALCAO"</f>
        <v>B3 S A   BRASIL BOLSA BALCAO</v>
      </c>
      <c r="D111" s="9">
        <v>45880</v>
      </c>
      <c r="E111" s="9">
        <v>47706</v>
      </c>
      <c r="F111" s="16">
        <v>3299766.59</v>
      </c>
      <c r="G111" s="16">
        <v>124967.7</v>
      </c>
      <c r="H111" s="16">
        <v>3174798.89</v>
      </c>
    </row>
    <row r="112" spans="2:8" x14ac:dyDescent="0.35">
      <c r="B112" s="14">
        <v>11853</v>
      </c>
      <c r="C112" s="15" t="str">
        <f>"INTERACT SOLUTIONS LTDA"</f>
        <v>INTERACT SOLUTIONS LTDA</v>
      </c>
      <c r="D112" s="9">
        <v>45882</v>
      </c>
      <c r="E112" s="9">
        <v>46612</v>
      </c>
      <c r="F112" s="16">
        <v>200912.99</v>
      </c>
      <c r="G112" s="16">
        <v>98777.51</v>
      </c>
      <c r="H112" s="16">
        <v>102135.48</v>
      </c>
    </row>
    <row r="113" spans="2:8" x14ac:dyDescent="0.35">
      <c r="B113" s="14">
        <v>11855</v>
      </c>
      <c r="C113" s="15" t="str">
        <f>"PRODEMGE  CIA DE TECNOL DA INFORMACAO DE MG"</f>
        <v>PRODEMGE  CIA DE TECNOL DA INFORMACAO DE MG</v>
      </c>
      <c r="D113" s="9">
        <v>45915</v>
      </c>
      <c r="E113" s="9">
        <v>46646</v>
      </c>
      <c r="F113" s="16">
        <v>1137939.8400000001</v>
      </c>
      <c r="G113" s="16">
        <v>160816.37</v>
      </c>
      <c r="H113" s="16">
        <v>977123.47</v>
      </c>
    </row>
    <row r="114" spans="2:8" x14ac:dyDescent="0.35">
      <c r="B114" s="14">
        <v>11859</v>
      </c>
      <c r="C114" s="15" t="str">
        <f>"INSTITUTO REDE BRASIL DO PACTO GLOBAL"</f>
        <v>INSTITUTO REDE BRASIL DO PACTO GLOBAL</v>
      </c>
      <c r="D114" s="9">
        <v>45728</v>
      </c>
      <c r="E114" s="9">
        <v>46458</v>
      </c>
      <c r="F114" s="16">
        <v>5034.1499999999996</v>
      </c>
      <c r="G114" s="16">
        <v>0</v>
      </c>
      <c r="H114" s="16">
        <v>5034.1499999999996</v>
      </c>
    </row>
    <row r="115" spans="2:8" x14ac:dyDescent="0.35">
      <c r="B115" s="14">
        <v>11860</v>
      </c>
      <c r="C115" s="15" t="str">
        <f>"EXTINTORES MINAS GERAIS LTDA EPP"</f>
        <v>EXTINTORES MINAS GERAIS LTDA EPP</v>
      </c>
      <c r="D115" s="9">
        <v>45888</v>
      </c>
      <c r="E115" s="9">
        <v>47713</v>
      </c>
      <c r="F115" s="16">
        <v>87535</v>
      </c>
      <c r="G115" s="16">
        <v>18268.5</v>
      </c>
      <c r="H115" s="16">
        <v>69266.5</v>
      </c>
    </row>
    <row r="116" spans="2:8" x14ac:dyDescent="0.35">
      <c r="B116" s="14">
        <v>11861</v>
      </c>
      <c r="C116" s="15" t="str">
        <f>"SOLANO TECNOLOGIA EMPRESARIAL LTDA ME"</f>
        <v>SOLANO TECNOLOGIA EMPRESARIAL LTDA ME</v>
      </c>
      <c r="D116" s="9">
        <v>45894</v>
      </c>
      <c r="E116" s="9">
        <v>47720</v>
      </c>
      <c r="F116" s="16">
        <v>2960</v>
      </c>
      <c r="G116" s="16">
        <v>620</v>
      </c>
      <c r="H116" s="16">
        <v>2340</v>
      </c>
    </row>
    <row r="117" spans="2:8" x14ac:dyDescent="0.35">
      <c r="B117" s="14">
        <v>11868</v>
      </c>
      <c r="C117" s="15" t="str">
        <f>"EMPRESA DE PESQUISA AGROPECUARIA DE MINAS GERAIS"</f>
        <v>EMPRESA DE PESQUISA AGROPECUARIA DE MINAS GERAIS</v>
      </c>
      <c r="D117" s="9">
        <v>45908</v>
      </c>
      <c r="E117" s="9">
        <v>46638</v>
      </c>
      <c r="F117" s="16">
        <v>110677.2</v>
      </c>
      <c r="G117" s="16">
        <v>58650</v>
      </c>
      <c r="H117" s="16">
        <v>52027.199999999997</v>
      </c>
    </row>
    <row r="118" spans="2:8" x14ac:dyDescent="0.35">
      <c r="B118" s="14">
        <v>11870</v>
      </c>
      <c r="C118" s="15" t="str">
        <f>"PPN TECNOLOGIA E  INFORMATICA LTDA"</f>
        <v>PPN TECNOLOGIA E  INFORMATICA LTDA</v>
      </c>
      <c r="D118" s="9">
        <v>45960</v>
      </c>
      <c r="E118" s="9">
        <v>47785</v>
      </c>
      <c r="F118" s="16">
        <v>3455983.02</v>
      </c>
      <c r="G118" s="16">
        <v>3394663.02</v>
      </c>
      <c r="H118" s="16">
        <v>61320</v>
      </c>
    </row>
    <row r="119" spans="2:8" x14ac:dyDescent="0.35">
      <c r="B119" s="14">
        <v>11875</v>
      </c>
      <c r="C119" s="15" t="str">
        <f>"MINASBEV BEBIDAS DO BRASIL SA"</f>
        <v>MINASBEV BEBIDAS DO BRASIL SA</v>
      </c>
      <c r="D119" s="9">
        <v>45869</v>
      </c>
      <c r="E119" s="9">
        <v>46599</v>
      </c>
      <c r="F119" s="16">
        <v>5150.0789999999997</v>
      </c>
      <c r="G119" s="16">
        <v>0</v>
      </c>
      <c r="H119" s="16">
        <v>5150.0789999999997</v>
      </c>
    </row>
    <row r="120" spans="2:8" x14ac:dyDescent="0.35">
      <c r="B120" s="14">
        <v>11879</v>
      </c>
      <c r="C120" s="15" t="str">
        <f>"GUIDO A PALOMBA CLINICA MEDICA LTDA"</f>
        <v>GUIDO A PALOMBA CLINICA MEDICA LTDA</v>
      </c>
      <c r="D120" s="9">
        <v>45917</v>
      </c>
      <c r="E120" s="9">
        <v>47743</v>
      </c>
      <c r="F120" s="16">
        <v>129926.38</v>
      </c>
      <c r="G120" s="16">
        <v>129926.38</v>
      </c>
      <c r="H120" s="16">
        <v>0</v>
      </c>
    </row>
    <row r="121" spans="2:8" x14ac:dyDescent="0.35">
      <c r="B121" s="14">
        <v>11881</v>
      </c>
      <c r="C121" s="15" t="str">
        <f>"AACP SERVICO AMBIENTAL EIRELIME"</f>
        <v>AACP SERVICO AMBIENTAL EIRELIME</v>
      </c>
      <c r="D121" s="9">
        <v>45924</v>
      </c>
      <c r="E121" s="9">
        <v>46654</v>
      </c>
      <c r="F121" s="16">
        <v>33300</v>
      </c>
      <c r="G121" s="16">
        <v>14100</v>
      </c>
      <c r="H121" s="16">
        <v>19200</v>
      </c>
    </row>
    <row r="122" spans="2:8" x14ac:dyDescent="0.35">
      <c r="B122" s="14">
        <v>11883</v>
      </c>
      <c r="C122" s="15" t="str">
        <f>"FORTE SEGURANCA ELETRONICA LTDA"</f>
        <v>FORTE SEGURANCA ELETRONICA LTDA</v>
      </c>
      <c r="D122" s="9">
        <v>45924</v>
      </c>
      <c r="E122" s="9">
        <v>46654</v>
      </c>
      <c r="F122" s="16">
        <v>18720</v>
      </c>
      <c r="G122" s="16">
        <v>8580</v>
      </c>
      <c r="H122" s="16">
        <v>10140</v>
      </c>
    </row>
    <row r="123" spans="2:8" x14ac:dyDescent="0.35">
      <c r="B123" s="14">
        <v>11892</v>
      </c>
      <c r="C123" s="15" t="str">
        <f>"MED LEGAL SOLUCOES MEDICAS LTDA"</f>
        <v>MED LEGAL SOLUCOES MEDICAS LTDA</v>
      </c>
      <c r="D123" s="9">
        <v>45938</v>
      </c>
      <c r="E123" s="9">
        <v>46668</v>
      </c>
      <c r="F123" s="16">
        <v>6393.2</v>
      </c>
      <c r="G123" s="16">
        <v>6393.2</v>
      </c>
      <c r="H123" s="16">
        <v>0</v>
      </c>
    </row>
    <row r="124" spans="2:8" x14ac:dyDescent="0.35">
      <c r="B124" s="14">
        <v>11899</v>
      </c>
      <c r="C124" s="15" t="str">
        <f>"AGRO LIMPEZA E CONSERVACAO LTDA"</f>
        <v>AGRO LIMPEZA E CONSERVACAO LTDA</v>
      </c>
      <c r="D124" s="9">
        <v>45953</v>
      </c>
      <c r="E124" s="9">
        <v>46317</v>
      </c>
      <c r="F124" s="16">
        <v>3709000</v>
      </c>
      <c r="G124" s="16">
        <v>20201.66</v>
      </c>
      <c r="H124" s="16">
        <v>3688798.34</v>
      </c>
    </row>
    <row r="125" spans="2:8" x14ac:dyDescent="0.35">
      <c r="B125" s="14">
        <v>11900</v>
      </c>
      <c r="C125" s="15" t="str">
        <f>"IMAGEM GEOSISTEMAS  E  COMERCIO LTDA"</f>
        <v>IMAGEM GEOSISTEMAS  E  COMERCIO LTDA</v>
      </c>
      <c r="D125" s="9">
        <v>45967</v>
      </c>
      <c r="E125" s="9">
        <v>46331</v>
      </c>
      <c r="F125" s="16">
        <v>186341.34</v>
      </c>
      <c r="G125" s="16">
        <v>186341.34</v>
      </c>
      <c r="H125" s="16">
        <v>0</v>
      </c>
    </row>
    <row r="126" spans="2:8" x14ac:dyDescent="0.35">
      <c r="B126" s="14">
        <v>11902</v>
      </c>
      <c r="C126" s="15" t="str">
        <f>"ARAXA AMBIENTAL LTDA"</f>
        <v>ARAXA AMBIENTAL LTDA</v>
      </c>
      <c r="D126" s="9">
        <v>45980</v>
      </c>
      <c r="E126" s="9">
        <v>46344</v>
      </c>
      <c r="F126" s="16">
        <v>255780</v>
      </c>
      <c r="G126" s="16">
        <v>160440</v>
      </c>
      <c r="H126" s="16">
        <v>95340</v>
      </c>
    </row>
    <row r="127" spans="2:8" x14ac:dyDescent="0.35">
      <c r="B127" s="14">
        <v>11903</v>
      </c>
      <c r="C127" s="15" t="str">
        <f>"SGS GEOSOL LABORATORIOS LTDA"</f>
        <v>SGS GEOSOL LABORATORIOS LTDA</v>
      </c>
      <c r="D127" s="9">
        <v>45967</v>
      </c>
      <c r="E127" s="9">
        <v>46331</v>
      </c>
      <c r="F127" s="16">
        <v>2873959.74</v>
      </c>
      <c r="G127" s="16">
        <v>1915163.73</v>
      </c>
      <c r="H127" s="16">
        <v>958796.01</v>
      </c>
    </row>
    <row r="128" spans="2:8" x14ac:dyDescent="0.35">
      <c r="B128" s="14">
        <v>11909</v>
      </c>
      <c r="C128" s="15" t="str">
        <f>"CEMIG DISTRIBUICAO S A"</f>
        <v>CEMIG DISTRIBUICAO S A</v>
      </c>
      <c r="D128" s="9">
        <v>45945</v>
      </c>
      <c r="E128" s="9">
        <v>46675</v>
      </c>
      <c r="F128" s="16">
        <v>337040</v>
      </c>
      <c r="G128" s="16">
        <v>90667.82</v>
      </c>
      <c r="H128" s="16">
        <v>246372.18</v>
      </c>
    </row>
    <row r="129" spans="2:8" x14ac:dyDescent="0.35">
      <c r="B129" s="14">
        <v>11910</v>
      </c>
      <c r="C129" s="15" t="str">
        <f>"CEMIG DISTRIBUICAO S A"</f>
        <v>CEMIG DISTRIBUICAO S A</v>
      </c>
      <c r="D129" s="9">
        <v>45945</v>
      </c>
      <c r="E129" s="9">
        <v>46675</v>
      </c>
      <c r="F129" s="16">
        <v>76000</v>
      </c>
      <c r="G129" s="16">
        <v>0</v>
      </c>
      <c r="H129" s="16">
        <v>76000</v>
      </c>
    </row>
    <row r="130" spans="2:8" x14ac:dyDescent="0.35">
      <c r="B130" s="14">
        <v>11911</v>
      </c>
      <c r="C130" s="15" t="str">
        <f>"CONTEGO CONSULTORIA LTDA"</f>
        <v>CONTEGO CONSULTORIA LTDA</v>
      </c>
      <c r="D130" s="9">
        <v>45965</v>
      </c>
      <c r="E130" s="9">
        <v>46695</v>
      </c>
      <c r="F130" s="16">
        <v>337658.19</v>
      </c>
      <c r="G130" s="16">
        <v>140900</v>
      </c>
      <c r="H130" s="16">
        <v>196758.19</v>
      </c>
    </row>
    <row r="131" spans="2:8" x14ac:dyDescent="0.35">
      <c r="B131" s="14">
        <v>11912</v>
      </c>
      <c r="C131" s="15" t="str">
        <f>"CASA DO TURISMO DE BELO HORIZONTE"</f>
        <v>CASA DO TURISMO DE BELO HORIZONTE</v>
      </c>
      <c r="D131" s="9">
        <v>45959</v>
      </c>
      <c r="E131" s="9">
        <v>46565</v>
      </c>
      <c r="F131" s="16">
        <v>200000</v>
      </c>
      <c r="G131" s="16">
        <v>143130.29999999999</v>
      </c>
      <c r="H131" s="16">
        <v>56869.7</v>
      </c>
    </row>
    <row r="132" spans="2:8" x14ac:dyDescent="0.35">
      <c r="B132" s="14">
        <v>11913</v>
      </c>
      <c r="C132" s="15" t="str">
        <f>"LP COMERCIO E DISTRIBUICAO LTDA"</f>
        <v>LP COMERCIO E DISTRIBUICAO LTDA</v>
      </c>
      <c r="D132" s="9">
        <v>45964</v>
      </c>
      <c r="E132" s="9">
        <v>46329</v>
      </c>
      <c r="F132" s="16">
        <v>34472.5</v>
      </c>
      <c r="G132" s="16">
        <v>33309.599999999999</v>
      </c>
      <c r="H132" s="16">
        <v>1162.9000000000001</v>
      </c>
    </row>
    <row r="133" spans="2:8" x14ac:dyDescent="0.35">
      <c r="B133" s="14">
        <v>11915</v>
      </c>
      <c r="C133" s="15" t="str">
        <f>"CENTRO DE BIOLOGIA EXPERIMENTAL OCEANUS LTDA"</f>
        <v>CENTRO DE BIOLOGIA EXPERIMENTAL OCEANUS LTDA</v>
      </c>
      <c r="D133" s="9">
        <v>45978</v>
      </c>
      <c r="E133" s="9">
        <v>46342</v>
      </c>
      <c r="F133" s="16">
        <v>216554.8</v>
      </c>
      <c r="G133" s="16">
        <v>124702.24</v>
      </c>
      <c r="H133" s="16">
        <v>91852.56</v>
      </c>
    </row>
    <row r="134" spans="2:8" x14ac:dyDescent="0.35">
      <c r="B134" s="14">
        <v>11922</v>
      </c>
      <c r="C134" s="15" t="str">
        <f>"CONSORCIO TPF IBI  ENEJOTA ENEJOTA   SPALDING  SERTORI"</f>
        <v>CONSORCIO TPF IBI  ENEJOTA ENEJOTA   SPALDING  SERTORI</v>
      </c>
      <c r="D134" s="9">
        <v>45973</v>
      </c>
      <c r="E134" s="9">
        <v>46703</v>
      </c>
      <c r="F134" s="16">
        <v>7522594.6699999999</v>
      </c>
      <c r="G134" s="16">
        <v>225677.84</v>
      </c>
      <c r="H134" s="16">
        <v>7296916.8300000001</v>
      </c>
    </row>
    <row r="135" spans="2:8" x14ac:dyDescent="0.35">
      <c r="B135" s="14">
        <v>11925</v>
      </c>
      <c r="C135" s="15" t="str">
        <f>"CONSORCIO ENGECORPS MOYSES E PIRES ALVAREZ E MARSAL PLENA"</f>
        <v>CONSORCIO ENGECORPS MOYSES E PIRES ALVAREZ E MARSAL PLENA</v>
      </c>
      <c r="D135" s="9">
        <v>46041</v>
      </c>
      <c r="E135" s="9">
        <v>46586</v>
      </c>
      <c r="F135" s="16">
        <v>6175950</v>
      </c>
      <c r="G135" s="16">
        <v>185278.5</v>
      </c>
      <c r="H135" s="16">
        <v>5990671.5</v>
      </c>
    </row>
    <row r="136" spans="2:8" x14ac:dyDescent="0.35">
      <c r="B136" s="14">
        <v>11928</v>
      </c>
      <c r="C136" s="15" t="str">
        <f>"NECTA INOVA CONTEUDOS ESTRATEGICOS LTDA"</f>
        <v>NECTA INOVA CONTEUDOS ESTRATEGICOS LTDA</v>
      </c>
      <c r="D136" s="9">
        <v>45988</v>
      </c>
      <c r="E136" s="9">
        <v>46352</v>
      </c>
      <c r="F136" s="16">
        <v>300000</v>
      </c>
      <c r="G136" s="16">
        <v>298480</v>
      </c>
      <c r="H136" s="16">
        <v>1520</v>
      </c>
    </row>
    <row r="137" spans="2:8" x14ac:dyDescent="0.35">
      <c r="B137" s="14">
        <v>11929</v>
      </c>
      <c r="C137" s="15" t="str">
        <f>"MS TRADUCOES LTDA"</f>
        <v>MS TRADUCOES LTDA</v>
      </c>
      <c r="D137" s="9">
        <v>45975</v>
      </c>
      <c r="E137" s="9">
        <v>46340</v>
      </c>
      <c r="F137" s="16">
        <v>45000</v>
      </c>
      <c r="G137" s="16">
        <v>0</v>
      </c>
      <c r="H137" s="16">
        <v>45000</v>
      </c>
    </row>
    <row r="138" spans="2:8" x14ac:dyDescent="0.35">
      <c r="B138" s="14">
        <v>11930</v>
      </c>
      <c r="C138" s="15" t="str">
        <f>"BASECAMP TREINAMENTO LTDA"</f>
        <v>BASECAMP TREINAMENTO LTDA</v>
      </c>
      <c r="D138" s="9">
        <v>46006</v>
      </c>
      <c r="E138" s="9">
        <v>46464</v>
      </c>
      <c r="F138" s="16">
        <v>700000</v>
      </c>
      <c r="G138" s="16">
        <v>525000</v>
      </c>
      <c r="H138" s="16">
        <v>175000</v>
      </c>
    </row>
    <row r="139" spans="2:8" x14ac:dyDescent="0.35">
      <c r="B139" s="14">
        <v>11933</v>
      </c>
      <c r="C139" s="15" t="str">
        <f>"AGUA MINERAL NATURAL FONTE E VIDA LTDA"</f>
        <v>AGUA MINERAL NATURAL FONTE E VIDA LTDA</v>
      </c>
      <c r="D139" s="9">
        <v>45989</v>
      </c>
      <c r="E139" s="9">
        <v>46353</v>
      </c>
      <c r="F139" s="16">
        <v>12300</v>
      </c>
      <c r="G139" s="16">
        <v>9395.08</v>
      </c>
      <c r="H139" s="16">
        <v>2904.92</v>
      </c>
    </row>
    <row r="140" spans="2:8" x14ac:dyDescent="0.35">
      <c r="B140" s="14">
        <v>11938</v>
      </c>
      <c r="C140" s="15" t="str">
        <f>"CONSORCIO CEMIG SIM  GD III"</f>
        <v>CONSORCIO CEMIG SIM  GD III</v>
      </c>
      <c r="D140" s="9">
        <v>45987</v>
      </c>
      <c r="E140" s="9">
        <v>47813</v>
      </c>
      <c r="F140" s="16">
        <v>789833.35</v>
      </c>
      <c r="G140" s="16">
        <v>52433.33</v>
      </c>
      <c r="H140" s="16">
        <v>737400.02</v>
      </c>
    </row>
    <row r="141" spans="2:8" x14ac:dyDescent="0.35">
      <c r="B141" s="14">
        <v>11942</v>
      </c>
      <c r="C141" s="15" t="str">
        <f>"CERES INTELIGENCIA FINANCEIRA LTDA  EPP"</f>
        <v>CERES INTELIGENCIA FINANCEIRA LTDA  EPP</v>
      </c>
      <c r="D141" s="9">
        <v>46027</v>
      </c>
      <c r="E141" s="9">
        <v>46330</v>
      </c>
      <c r="F141" s="16">
        <v>752000</v>
      </c>
      <c r="G141" s="16">
        <v>752000</v>
      </c>
      <c r="H141" s="16">
        <v>0</v>
      </c>
    </row>
    <row r="142" spans="2:8" x14ac:dyDescent="0.35">
      <c r="B142" s="14">
        <v>11949</v>
      </c>
      <c r="C142" s="15" t="str">
        <f>"MINHA BIBLIOTECA LTDA"</f>
        <v>MINHA BIBLIOTECA LTDA</v>
      </c>
      <c r="D142" s="9">
        <v>46020</v>
      </c>
      <c r="E142" s="9">
        <v>46794</v>
      </c>
      <c r="F142" s="16">
        <v>78960</v>
      </c>
      <c r="G142" s="16">
        <v>39480</v>
      </c>
      <c r="H142" s="16">
        <v>39480</v>
      </c>
    </row>
    <row r="143" spans="2:8" x14ac:dyDescent="0.35">
      <c r="B143" s="14">
        <v>11951</v>
      </c>
      <c r="C143" s="15" t="str">
        <f>"EDUCARE FORMACAO DESENVOLVIMENTO LTDA"</f>
        <v>EDUCARE FORMACAO DESENVOLVIMENTO LTDA</v>
      </c>
      <c r="D143" s="9">
        <v>46020</v>
      </c>
      <c r="E143" s="9">
        <v>46323</v>
      </c>
      <c r="F143" s="16">
        <v>2585883.88</v>
      </c>
      <c r="G143" s="16">
        <v>2585883.88</v>
      </c>
      <c r="H143" s="16">
        <v>0</v>
      </c>
    </row>
    <row r="144" spans="2:8" x14ac:dyDescent="0.35">
      <c r="B144" s="14">
        <v>11955</v>
      </c>
      <c r="C144" s="15" t="str">
        <f>"TECNETWORKING SERVICOS E SOLUCOES EM TI LTDA"</f>
        <v>TECNETWORKING SERVICOS E SOLUCOES EM TI LTDA</v>
      </c>
      <c r="D144" s="9">
        <v>46021</v>
      </c>
      <c r="E144" s="9">
        <v>46385</v>
      </c>
      <c r="F144" s="16">
        <v>538000</v>
      </c>
      <c r="G144" s="16">
        <v>486180</v>
      </c>
      <c r="H144" s="16">
        <v>51820</v>
      </c>
    </row>
    <row r="145" spans="2:8" x14ac:dyDescent="0.35">
      <c r="B145" s="14">
        <v>11957</v>
      </c>
      <c r="C145" s="15" t="str">
        <f>"DRIVE A INFORMATICA LTDA"</f>
        <v>DRIVE A INFORMATICA LTDA</v>
      </c>
      <c r="D145" s="9">
        <v>46027</v>
      </c>
      <c r="E145" s="9">
        <v>46392</v>
      </c>
      <c r="F145" s="16">
        <v>2070000</v>
      </c>
      <c r="G145" s="16">
        <v>0</v>
      </c>
      <c r="H145" s="16">
        <v>2070000</v>
      </c>
    </row>
    <row r="146" spans="2:8" x14ac:dyDescent="0.35">
      <c r="B146" s="14">
        <v>11958</v>
      </c>
      <c r="C146" s="15" t="str">
        <f>"INSTITUTO CULTURAL FILARMONICA"</f>
        <v>INSTITUTO CULTURAL FILARMONICA</v>
      </c>
      <c r="D146" s="9">
        <v>46021</v>
      </c>
      <c r="E146" s="9">
        <v>46446</v>
      </c>
      <c r="F146" s="16">
        <v>700000</v>
      </c>
      <c r="G146" s="16">
        <v>700000</v>
      </c>
      <c r="H146" s="16">
        <v>0</v>
      </c>
    </row>
    <row r="147" spans="2:8" x14ac:dyDescent="0.35">
      <c r="B147" s="14">
        <v>11965</v>
      </c>
      <c r="C147" s="15" t="str">
        <f>"INTERNATIONAL FINANCE CORPORATION"</f>
        <v>INTERNATIONAL FINANCE CORPORATION</v>
      </c>
      <c r="D147" s="9">
        <v>46056</v>
      </c>
      <c r="E147" s="9">
        <v>47152</v>
      </c>
      <c r="F147" s="16">
        <v>29396830.030000001</v>
      </c>
      <c r="G147" s="16">
        <v>2057778.13</v>
      </c>
      <c r="H147" s="16">
        <v>27339051.899999999</v>
      </c>
    </row>
    <row r="148" spans="2:8" x14ac:dyDescent="0.35">
      <c r="B148" s="14">
        <v>11972</v>
      </c>
      <c r="C148" s="15" t="str">
        <f>"ABC EMPREENDIMENTOS SEGURANCA E INCENDIO LTDA"</f>
        <v>ABC EMPREENDIMENTOS SEGURANCA E INCENDIO LTDA</v>
      </c>
      <c r="D148" s="9">
        <v>46050</v>
      </c>
      <c r="E148" s="9">
        <v>46415</v>
      </c>
      <c r="F148" s="16">
        <v>2386283.6</v>
      </c>
      <c r="G148" s="16">
        <v>0</v>
      </c>
      <c r="H148" s="16">
        <v>2386283.6</v>
      </c>
    </row>
    <row r="149" spans="2:8" x14ac:dyDescent="0.35">
      <c r="B149" s="14">
        <v>11974</v>
      </c>
      <c r="C149" s="15" t="str">
        <f>"MARCIO FERREIRA E CIA LTDA"</f>
        <v>MARCIO FERREIRA E CIA LTDA</v>
      </c>
      <c r="D149" s="9">
        <v>46056</v>
      </c>
      <c r="E149" s="9">
        <v>46421</v>
      </c>
      <c r="F149" s="16">
        <v>6930</v>
      </c>
      <c r="G149" s="16">
        <v>4212</v>
      </c>
      <c r="H149" s="16">
        <v>2718</v>
      </c>
    </row>
    <row r="150" spans="2:8" x14ac:dyDescent="0.35">
      <c r="B150" s="14">
        <v>11978</v>
      </c>
      <c r="C150" s="15" t="str">
        <f>"FEDERACAO DAS INDUSTRIAS DO ESTADO DE MINAS GERAIS"</f>
        <v>FEDERACAO DAS INDUSTRIAS DO ESTADO DE MINAS GERAIS</v>
      </c>
      <c r="D150" s="9">
        <v>46086</v>
      </c>
      <c r="E150" s="9">
        <v>46908</v>
      </c>
      <c r="F150" s="16">
        <v>39600000</v>
      </c>
      <c r="G150" s="16">
        <v>0</v>
      </c>
      <c r="H150" s="16">
        <v>39600000</v>
      </c>
    </row>
    <row r="151" spans="2:8" x14ac:dyDescent="0.35">
      <c r="B151" s="14">
        <v>11980</v>
      </c>
      <c r="C151" s="15" t="str">
        <f>"ALSB COMERCIO E SERVICOS LTDA"</f>
        <v>ALSB COMERCIO E SERVICOS LTDA</v>
      </c>
      <c r="D151" s="9">
        <v>46091</v>
      </c>
      <c r="E151" s="9">
        <v>46456</v>
      </c>
      <c r="F151" s="16">
        <v>94752</v>
      </c>
      <c r="G151" s="16">
        <v>0</v>
      </c>
      <c r="H151" s="16">
        <v>94752</v>
      </c>
    </row>
    <row r="152" spans="2:8" x14ac:dyDescent="0.35">
      <c r="B152" s="14">
        <v>11983</v>
      </c>
      <c r="C152" s="15" t="str">
        <f>"FUNDACAO INSTITUTO DE PESQUISAS ECONOMICAS FIPE"</f>
        <v>FUNDACAO INSTITUTO DE PESQUISAS ECONOMICAS FIPE</v>
      </c>
      <c r="D152" s="9">
        <v>46084</v>
      </c>
      <c r="E152" s="9">
        <v>46815</v>
      </c>
      <c r="F152" s="16">
        <v>5215427</v>
      </c>
      <c r="G152" s="16">
        <v>670182.37</v>
      </c>
      <c r="H152" s="16">
        <v>4545244.63</v>
      </c>
    </row>
    <row r="153" spans="2:8" x14ac:dyDescent="0.35">
      <c r="B153" s="14">
        <v>11984</v>
      </c>
      <c r="C153" s="15" t="str">
        <f>"EMPRESA MUNICIPAL DE TURISMO  BELOTUR"</f>
        <v>EMPRESA MUNICIPAL DE TURISMO  BELOTUR</v>
      </c>
      <c r="D153" s="9">
        <v>46075</v>
      </c>
      <c r="E153" s="9">
        <v>46316</v>
      </c>
      <c r="F153" s="16">
        <v>500000</v>
      </c>
      <c r="G153" s="16">
        <v>500000</v>
      </c>
      <c r="H153" s="16">
        <v>0</v>
      </c>
    </row>
    <row r="154" spans="2:8" x14ac:dyDescent="0.35">
      <c r="B154" s="14">
        <v>11987</v>
      </c>
      <c r="C154" s="15" t="str">
        <f>"DORIA ADMINISTRACAO E EVENTOS LTDA"</f>
        <v>DORIA ADMINISTRACAO E EVENTOS LTDA</v>
      </c>
      <c r="D154" s="9">
        <v>46154</v>
      </c>
      <c r="E154" s="9">
        <v>46337</v>
      </c>
      <c r="F154" s="16">
        <v>560000</v>
      </c>
      <c r="G154" s="16">
        <v>560000</v>
      </c>
      <c r="H154" s="16">
        <v>0</v>
      </c>
    </row>
    <row r="155" spans="2:8" x14ac:dyDescent="0.35">
      <c r="B155" s="14">
        <v>11989</v>
      </c>
      <c r="C155" s="15" t="str">
        <f>"LUMENS ENGENHARIA LTDA"</f>
        <v>LUMENS ENGENHARIA LTDA</v>
      </c>
      <c r="D155" s="9">
        <v>46087</v>
      </c>
      <c r="E155" s="9">
        <v>46447</v>
      </c>
      <c r="F155" s="16">
        <v>1680000</v>
      </c>
      <c r="G155" s="16">
        <v>173590.8</v>
      </c>
      <c r="H155" s="16">
        <v>1506409.2</v>
      </c>
    </row>
    <row r="156" spans="2:8" x14ac:dyDescent="0.35">
      <c r="B156" s="14">
        <v>11991</v>
      </c>
      <c r="C156" s="15" t="str">
        <f>"ASSOCIACAO  DOS REVENDEDORES DE VEICULOS NO ESTADO DE MINAS  GERAIS"</f>
        <v>ASSOCIACAO  DOS REVENDEDORES DE VEICULOS NO ESTADO DE MINAS  GERAIS</v>
      </c>
      <c r="D156" s="9">
        <v>46166</v>
      </c>
      <c r="E156" s="9">
        <v>46349</v>
      </c>
      <c r="F156" s="16">
        <v>120000</v>
      </c>
      <c r="G156" s="16">
        <v>120000</v>
      </c>
      <c r="H156" s="16">
        <v>0</v>
      </c>
    </row>
    <row r="157" spans="2:8" x14ac:dyDescent="0.35">
      <c r="B157" s="14">
        <v>11996</v>
      </c>
      <c r="C157" s="15" t="str">
        <f>"L3 SOFTWARE LTDA"</f>
        <v>L3 SOFTWARE LTDA</v>
      </c>
      <c r="D157" s="9">
        <v>46094</v>
      </c>
      <c r="E157" s="9">
        <v>46459</v>
      </c>
      <c r="F157" s="16">
        <v>300000</v>
      </c>
      <c r="G157" s="16">
        <v>225000</v>
      </c>
      <c r="H157" s="16">
        <v>75000</v>
      </c>
    </row>
    <row r="158" spans="2:8" x14ac:dyDescent="0.35">
      <c r="B158" s="14">
        <v>11997</v>
      </c>
      <c r="C158" s="15" t="str">
        <f>"RADIO ITATIAIA  SA"</f>
        <v>RADIO ITATIAIA  SA</v>
      </c>
      <c r="D158" s="9">
        <v>46104</v>
      </c>
      <c r="E158" s="9">
        <v>46348</v>
      </c>
      <c r="F158" s="16">
        <v>350000</v>
      </c>
      <c r="G158" s="16">
        <v>340186.92</v>
      </c>
      <c r="H158" s="16">
        <v>9813.08</v>
      </c>
    </row>
    <row r="159" spans="2:8" x14ac:dyDescent="0.35">
      <c r="B159" s="14">
        <v>11998</v>
      </c>
      <c r="C159" s="15" t="str">
        <f>"IMAGEM GEOSISTEMAS  E  COMERCIO LTDA"</f>
        <v>IMAGEM GEOSISTEMAS  E  COMERCIO LTDA</v>
      </c>
      <c r="D159" s="9">
        <v>46118</v>
      </c>
      <c r="E159" s="9">
        <v>46748</v>
      </c>
      <c r="F159" s="16">
        <v>123329.63</v>
      </c>
      <c r="G159" s="16">
        <v>123329.63</v>
      </c>
      <c r="H159" s="16">
        <v>0</v>
      </c>
    </row>
    <row r="160" spans="2:8" x14ac:dyDescent="0.35">
      <c r="B160" s="14">
        <v>12000</v>
      </c>
      <c r="C160" s="15" t="str">
        <f>"MALINOVSKI FEIRAS E EVENTOS LTDA"</f>
        <v>MALINOVSKI FEIRAS E EVENTOS LTDA</v>
      </c>
      <c r="D160" s="9">
        <v>46140</v>
      </c>
      <c r="E160" s="9">
        <v>46347</v>
      </c>
      <c r="F160" s="16">
        <v>400000</v>
      </c>
      <c r="G160" s="16">
        <v>400000</v>
      </c>
      <c r="H160" s="16">
        <v>0</v>
      </c>
    </row>
    <row r="161" spans="2:8" x14ac:dyDescent="0.35">
      <c r="B161" s="14">
        <v>12002</v>
      </c>
      <c r="C161" s="15" t="str">
        <f>"ASSOCIACAO CENTRAL DOS FRUTICULTORES DO NORTE DE MINAS  ABANORTE"</f>
        <v>ASSOCIACAO CENTRAL DOS FRUTICULTORES DO NORTE DE MINAS  ABANORTE</v>
      </c>
      <c r="D161" s="9">
        <v>46129</v>
      </c>
      <c r="E161" s="9">
        <v>46311</v>
      </c>
      <c r="F161" s="16">
        <v>200000</v>
      </c>
      <c r="G161" s="16">
        <v>199827.6</v>
      </c>
      <c r="H161" s="16">
        <v>172.4</v>
      </c>
    </row>
    <row r="162" spans="2:8" x14ac:dyDescent="0.35">
      <c r="B162" s="14">
        <v>12006</v>
      </c>
      <c r="C162" s="15" t="str">
        <f>"COMERCIAL ML DE PECAS LTDA"</f>
        <v>COMERCIAL ML DE PECAS LTDA</v>
      </c>
      <c r="D162" s="9">
        <v>46146</v>
      </c>
      <c r="E162" s="9">
        <v>46511</v>
      </c>
      <c r="F162" s="16">
        <v>177612.7</v>
      </c>
      <c r="G162" s="16">
        <v>40359.910000000003</v>
      </c>
      <c r="H162" s="16">
        <v>137252.79</v>
      </c>
    </row>
    <row r="163" spans="2:8" x14ac:dyDescent="0.35">
      <c r="B163" s="14">
        <v>12007</v>
      </c>
      <c r="C163" s="15" t="str">
        <f>"DISTRIBUIDORA DE AGUAS MINERAIS BH LTDA"</f>
        <v>DISTRIBUIDORA DE AGUAS MINERAIS BH LTDA</v>
      </c>
      <c r="D163" s="9">
        <v>46142</v>
      </c>
      <c r="E163" s="9">
        <v>46506</v>
      </c>
      <c r="F163" s="16">
        <v>8233.92</v>
      </c>
      <c r="G163" s="16">
        <v>2744.64</v>
      </c>
      <c r="H163" s="16">
        <v>5489.28</v>
      </c>
    </row>
    <row r="164" spans="2:8" x14ac:dyDescent="0.35">
      <c r="B164" s="14">
        <v>12008</v>
      </c>
      <c r="C164" s="15" t="str">
        <f>"MG BLOCK EQUIPAMENTOS LTDA"</f>
        <v>MG BLOCK EQUIPAMENTOS LTDA</v>
      </c>
      <c r="D164" s="9">
        <v>46149</v>
      </c>
      <c r="E164" s="9">
        <v>46544</v>
      </c>
      <c r="F164" s="16">
        <v>13800</v>
      </c>
      <c r="G164" s="16">
        <v>5950</v>
      </c>
      <c r="H164" s="16">
        <v>7850</v>
      </c>
    </row>
    <row r="165" spans="2:8" x14ac:dyDescent="0.35">
      <c r="B165" s="14">
        <v>12009</v>
      </c>
      <c r="C165" s="15" t="str">
        <f>"FUNDACAO EDUCACIONAL E CULTURAL DO SUDOESTE MINEIRO"</f>
        <v>FUNDACAO EDUCACIONAL E CULTURAL DO SUDOESTE MINEIRO</v>
      </c>
      <c r="D165" s="9">
        <v>46142</v>
      </c>
      <c r="E165" s="9">
        <v>46376</v>
      </c>
      <c r="F165" s="16">
        <v>350000</v>
      </c>
      <c r="G165" s="16">
        <v>349900</v>
      </c>
      <c r="H165" s="16">
        <v>100</v>
      </c>
    </row>
    <row r="166" spans="2:8" x14ac:dyDescent="0.35">
      <c r="B166" s="14">
        <v>12010</v>
      </c>
      <c r="C166" s="15" t="str">
        <f>"PROFI COMERCIO DE ALIMENTOS LTDA"</f>
        <v>PROFI COMERCIO DE ALIMENTOS LTDA</v>
      </c>
      <c r="D166" s="9">
        <v>46148</v>
      </c>
      <c r="E166" s="9">
        <v>46512</v>
      </c>
      <c r="F166" s="16">
        <v>18135.599999999999</v>
      </c>
      <c r="G166" s="16">
        <v>10147.299999999999</v>
      </c>
      <c r="H166" s="16">
        <v>7988.3</v>
      </c>
    </row>
    <row r="167" spans="2:8" x14ac:dyDescent="0.35">
      <c r="B167" s="14">
        <v>12011</v>
      </c>
      <c r="C167" s="15" t="str">
        <f>"PRODEMGE  CIA DE TECNOL DA INFORMACAO DE MG"</f>
        <v>PRODEMGE  CIA DE TECNOL DA INFORMACAO DE MG</v>
      </c>
      <c r="D167" s="9">
        <v>46157</v>
      </c>
      <c r="E167" s="9">
        <v>47983</v>
      </c>
      <c r="F167" s="16">
        <v>315942</v>
      </c>
      <c r="G167" s="16">
        <v>0</v>
      </c>
      <c r="H167" s="16">
        <v>315942</v>
      </c>
    </row>
    <row r="168" spans="2:8" x14ac:dyDescent="0.35">
      <c r="B168" s="14">
        <v>12012</v>
      </c>
      <c r="C168" s="15" t="str">
        <f>"ASSOCIACAO MINEIRA DE MUNICIPIOS"</f>
        <v>ASSOCIACAO MINEIRA DE MUNICIPIOS</v>
      </c>
      <c r="D168" s="9">
        <v>46147</v>
      </c>
      <c r="E168" s="9">
        <v>46391</v>
      </c>
      <c r="F168" s="16">
        <v>1000000</v>
      </c>
      <c r="G168" s="16">
        <v>1000000</v>
      </c>
      <c r="H168" s="16">
        <v>0</v>
      </c>
    </row>
    <row r="169" spans="2:8" x14ac:dyDescent="0.35">
      <c r="B169" s="14">
        <v>12013</v>
      </c>
      <c r="C169" s="15" t="str">
        <f>"LACERDA DINIZ SENA ADVOGADOS"</f>
        <v>LACERDA DINIZ SENA ADVOGADOS</v>
      </c>
      <c r="D169" s="9">
        <v>46150</v>
      </c>
      <c r="E169" s="9">
        <v>46514</v>
      </c>
      <c r="F169" s="16">
        <v>150000</v>
      </c>
      <c r="G169" s="16">
        <v>50000</v>
      </c>
      <c r="H169" s="16">
        <v>100000</v>
      </c>
    </row>
    <row r="170" spans="2:8" x14ac:dyDescent="0.35">
      <c r="B170" s="14">
        <v>12015</v>
      </c>
      <c r="C170" s="15" t="str">
        <f>"SETTE TURISMO PROMOCOES E EVENTOS LTDA"</f>
        <v>SETTE TURISMO PROMOCOES E EVENTOS LTDA</v>
      </c>
      <c r="D170" s="9">
        <v>46155</v>
      </c>
      <c r="E170" s="9">
        <v>46404</v>
      </c>
      <c r="F170" s="16">
        <v>200000</v>
      </c>
      <c r="G170" s="16">
        <v>200000</v>
      </c>
      <c r="H170" s="16">
        <v>0</v>
      </c>
    </row>
    <row r="171" spans="2:8" x14ac:dyDescent="0.35">
      <c r="B171" s="14">
        <v>12016</v>
      </c>
      <c r="C171" s="15" t="str">
        <f>"FEDERACAO DA AGRICULTURA E PECUARIA DO ESTADO DE MINAS GERAIS"</f>
        <v>FEDERACAO DA AGRICULTURA E PECUARIA DO ESTADO DE MINAS GERAIS</v>
      </c>
      <c r="D171" s="9">
        <v>46161</v>
      </c>
      <c r="E171" s="9">
        <v>46362</v>
      </c>
      <c r="F171" s="16">
        <v>300000</v>
      </c>
      <c r="G171" s="16">
        <v>263240.78000000003</v>
      </c>
      <c r="H171" s="16">
        <v>36759.22</v>
      </c>
    </row>
    <row r="172" spans="2:8" x14ac:dyDescent="0.35">
      <c r="B172" s="14">
        <v>12018</v>
      </c>
      <c r="C172" s="15" t="str">
        <f>"SEMPRE EDITORA LTDA"</f>
        <v>SEMPRE EDITORA LTDA</v>
      </c>
      <c r="D172" s="9">
        <v>46154</v>
      </c>
      <c r="E172" s="9">
        <v>46399</v>
      </c>
      <c r="F172" s="16">
        <v>75000</v>
      </c>
      <c r="G172" s="16">
        <v>0</v>
      </c>
      <c r="H172" s="16">
        <v>75000</v>
      </c>
    </row>
    <row r="173" spans="2:8" x14ac:dyDescent="0.35">
      <c r="B173" s="14">
        <v>12019</v>
      </c>
      <c r="C173" s="15" t="str">
        <f>"ASSOCIACAO DOS FORNECEDORES DE CANA DA REGIAO DE CAMPO FLORIDO"</f>
        <v>ASSOCIACAO DOS FORNECEDORES DE CANA DA REGIAO DE CAMPO FLORIDO</v>
      </c>
      <c r="D173" s="9">
        <v>46161</v>
      </c>
      <c r="E173" s="9">
        <v>46381</v>
      </c>
      <c r="F173" s="16">
        <v>650000</v>
      </c>
      <c r="G173" s="16">
        <v>650000</v>
      </c>
      <c r="H173" s="16">
        <v>0</v>
      </c>
    </row>
    <row r="174" spans="2:8" x14ac:dyDescent="0.35">
      <c r="B174" s="14">
        <v>12020</v>
      </c>
      <c r="C174" s="15" t="str">
        <f>"INSTITUTO RUI BARBOSA"</f>
        <v>INSTITUTO RUI BARBOSA</v>
      </c>
      <c r="D174" s="9">
        <v>46161</v>
      </c>
      <c r="E174" s="9">
        <v>46409</v>
      </c>
      <c r="F174" s="16">
        <v>180000</v>
      </c>
      <c r="G174" s="16">
        <v>180000</v>
      </c>
      <c r="H174" s="16">
        <v>0</v>
      </c>
    </row>
    <row r="175" spans="2:8" x14ac:dyDescent="0.35">
      <c r="B175" s="14">
        <v>12022</v>
      </c>
      <c r="C175" s="15" t="str">
        <f>"COOPERATIVA DOS CAFEICULTORES DO CERRADO DE ARAGUARI E REGIAO LTDA"</f>
        <v>COOPERATIVA DOS CAFEICULTORES DO CERRADO DE ARAGUARI E REGIAO LTDA</v>
      </c>
      <c r="D175" s="9">
        <v>46174</v>
      </c>
      <c r="E175" s="9">
        <v>46357</v>
      </c>
      <c r="F175" s="16">
        <v>200000</v>
      </c>
      <c r="G175" s="16">
        <v>0</v>
      </c>
      <c r="H175" s="16">
        <v>200000</v>
      </c>
    </row>
    <row r="176" spans="2:8" x14ac:dyDescent="0.35">
      <c r="B176" s="14">
        <v>12023</v>
      </c>
      <c r="C176" s="15" t="str">
        <f>"ASSOCIACAO BRASILEIRA DOS CRIADORES DE GIROLANDO"</f>
        <v>ASSOCIACAO BRASILEIRA DOS CRIADORES DE GIROLANDO</v>
      </c>
      <c r="D176" s="9">
        <v>46176</v>
      </c>
      <c r="E176" s="9">
        <v>46362</v>
      </c>
      <c r="F176" s="16">
        <v>900000</v>
      </c>
      <c r="G176" s="16">
        <v>0</v>
      </c>
      <c r="H176" s="16">
        <v>900000</v>
      </c>
    </row>
    <row r="177" spans="2:8" x14ac:dyDescent="0.35">
      <c r="B177" s="14">
        <v>12024</v>
      </c>
      <c r="C177" s="15" t="str">
        <f>"SEMPRE EDITORA LTDA"</f>
        <v>SEMPRE EDITORA LTDA</v>
      </c>
      <c r="D177" s="9">
        <v>46181</v>
      </c>
      <c r="E177" s="9">
        <v>46368</v>
      </c>
      <c r="F177" s="16">
        <v>75000</v>
      </c>
      <c r="G177" s="16">
        <v>42955.77</v>
      </c>
      <c r="H177" s="16">
        <v>32044.23</v>
      </c>
    </row>
    <row r="178" spans="2:8" x14ac:dyDescent="0.35">
      <c r="B178" s="14">
        <v>12025</v>
      </c>
      <c r="C178" s="15" t="str">
        <f>"PLANILHAR TREINAMENTO E CONSULTORIA EM LICITACOES LTDA"</f>
        <v>PLANILHAR TREINAMENTO E CONSULTORIA EM LICITACOES LTDA</v>
      </c>
      <c r="D178" s="9">
        <v>46182</v>
      </c>
      <c r="E178" s="9">
        <v>46546</v>
      </c>
      <c r="F178" s="16">
        <v>125000</v>
      </c>
      <c r="G178" s="16">
        <v>6250</v>
      </c>
      <c r="H178" s="16">
        <v>118750</v>
      </c>
    </row>
    <row r="179" spans="2:8" x14ac:dyDescent="0.35">
      <c r="B179" s="14">
        <v>12026</v>
      </c>
      <c r="C179" s="15" t="str">
        <f>"HPL PRODUCOES EVENTOS EIRELI"</f>
        <v>HPL PRODUCOES EVENTOS EIRELI</v>
      </c>
      <c r="D179" s="9">
        <v>46176</v>
      </c>
      <c r="E179" s="9">
        <v>46369</v>
      </c>
      <c r="F179" s="16">
        <v>100000</v>
      </c>
      <c r="G179" s="16">
        <v>100000</v>
      </c>
      <c r="H179" s="16">
        <v>0</v>
      </c>
    </row>
    <row r="180" spans="2:8" x14ac:dyDescent="0.35">
      <c r="B180" s="14">
        <v>12027</v>
      </c>
      <c r="C180" s="15" t="str">
        <f>"ECOLOGICO COMUNICACAO EM MEIO AMBIENTE LTDA"</f>
        <v>ECOLOGICO COMUNICACAO EM MEIO AMBIENTE LTDA</v>
      </c>
      <c r="D180" s="9">
        <v>46181</v>
      </c>
      <c r="E180" s="9">
        <v>46364</v>
      </c>
      <c r="F180" s="16">
        <v>35000</v>
      </c>
      <c r="G180" s="16">
        <v>35000</v>
      </c>
      <c r="H180" s="16">
        <v>0</v>
      </c>
    </row>
    <row r="181" spans="2:8" x14ac:dyDescent="0.35">
      <c r="B181" s="14">
        <v>12028</v>
      </c>
      <c r="C181" s="15" t="str">
        <f>"MINEIRA DIGITAL  E EVENTOS  LTDA"</f>
        <v>MINEIRA DIGITAL  E EVENTOS  LTDA</v>
      </c>
      <c r="D181" s="9">
        <v>46183</v>
      </c>
      <c r="E181" s="9">
        <v>46370</v>
      </c>
      <c r="F181" s="16">
        <v>100000</v>
      </c>
      <c r="G181" s="16">
        <v>100000</v>
      </c>
      <c r="H181" s="16">
        <v>0</v>
      </c>
    </row>
    <row r="182" spans="2:8" x14ac:dyDescent="0.35">
      <c r="B182" s="14">
        <v>12029</v>
      </c>
      <c r="C182" s="15" t="str">
        <f>"FUNDO DE APOIO A ESTRUTURACAO FEP CAIXA"</f>
        <v>FUNDO DE APOIO A ESTRUTURACAO FEP CAIXA</v>
      </c>
      <c r="D182" s="9">
        <v>46190</v>
      </c>
      <c r="E182" s="9">
        <v>47286</v>
      </c>
      <c r="F182" s="16">
        <v>24139245.440000001</v>
      </c>
      <c r="G182" s="16">
        <v>362656.94</v>
      </c>
      <c r="H182" s="16">
        <v>23776588.5</v>
      </c>
    </row>
    <row r="183" spans="2:8" x14ac:dyDescent="0.35">
      <c r="B183" s="14">
        <v>12030</v>
      </c>
      <c r="C183" s="15" t="str">
        <f>"FEDERACAO DAS CAMARAS DOS DIRIGENTES LOGISTAS DO ESTADO DE MINAS GERAIS"</f>
        <v>FEDERACAO DAS CAMARAS DOS DIRIGENTES LOGISTAS DO ESTADO DE MINAS GERAIS</v>
      </c>
      <c r="D183" s="9">
        <v>46182</v>
      </c>
      <c r="E183" s="9">
        <v>46435</v>
      </c>
      <c r="F183" s="16">
        <v>50000</v>
      </c>
      <c r="G183" s="16">
        <v>50000</v>
      </c>
      <c r="H183" s="16">
        <v>0</v>
      </c>
    </row>
    <row r="184" spans="2:8" x14ac:dyDescent="0.35">
      <c r="B184" s="14">
        <v>12031</v>
      </c>
      <c r="C184" s="15" t="str">
        <f>"ASSOCIACAO DOS CONDOMINIOS DE LAGOA SANTA"</f>
        <v>ASSOCIACAO DOS CONDOMINIOS DE LAGOA SANTA</v>
      </c>
      <c r="D184" s="9">
        <v>46183</v>
      </c>
      <c r="E184" s="9">
        <v>46370</v>
      </c>
      <c r="F184" s="16">
        <v>50000</v>
      </c>
      <c r="G184" s="16">
        <v>50000</v>
      </c>
      <c r="H184" s="16">
        <v>0</v>
      </c>
    </row>
    <row r="185" spans="2:8" x14ac:dyDescent="0.35">
      <c r="B185" s="14">
        <v>12032</v>
      </c>
      <c r="C185" s="15" t="str">
        <f>"ASSOCIACAO PROCULTURA E PROMOCAO DAS ARTES"</f>
        <v>ASSOCIACAO PROCULTURA E PROMOCAO DAS ARTES</v>
      </c>
      <c r="D185" s="9">
        <v>46189</v>
      </c>
      <c r="E185" s="9">
        <v>46413</v>
      </c>
      <c r="F185" s="16">
        <v>96000</v>
      </c>
      <c r="G185" s="16">
        <v>93148.01</v>
      </c>
      <c r="H185" s="16">
        <v>2851.99</v>
      </c>
    </row>
    <row r="186" spans="2:8" x14ac:dyDescent="0.35">
      <c r="B186" s="14">
        <v>12034</v>
      </c>
      <c r="C186" s="15" t="str">
        <f>"INSTITUTO DE FORMACAO DE LIDERES DE BHTE"</f>
        <v>INSTITUTO DE FORMACAO DE LIDERES DE BHTE</v>
      </c>
      <c r="D186" s="9">
        <v>46189</v>
      </c>
      <c r="E186" s="9">
        <v>46385</v>
      </c>
      <c r="F186" s="16">
        <v>120000</v>
      </c>
      <c r="G186" s="16">
        <v>0</v>
      </c>
      <c r="H186" s="16">
        <v>120000</v>
      </c>
    </row>
    <row r="187" spans="2:8" x14ac:dyDescent="0.35">
      <c r="B187" s="14">
        <v>12038</v>
      </c>
      <c r="C187" s="15" t="str">
        <f>"SOCIEDADE RURAL DE MONTES CLAROS"</f>
        <v>SOCIEDADE RURAL DE MONTES CLAROS</v>
      </c>
      <c r="D187" s="9">
        <v>46197</v>
      </c>
      <c r="E187" s="9">
        <v>46392</v>
      </c>
      <c r="F187" s="16">
        <v>100000</v>
      </c>
      <c r="G187" s="16">
        <v>0</v>
      </c>
      <c r="H187" s="16">
        <v>100000</v>
      </c>
    </row>
    <row r="188" spans="2:8" x14ac:dyDescent="0.35">
      <c r="B188" s="14">
        <v>12040</v>
      </c>
      <c r="C188" s="15" t="str">
        <f>"IOB INFORMACOES OBJ E PUBLIC JURID LTDA"</f>
        <v>IOB INFORMACOES OBJ E PUBLIC JURID LTDA</v>
      </c>
      <c r="D188" s="9">
        <v>46210</v>
      </c>
      <c r="E188" s="9">
        <v>46575</v>
      </c>
      <c r="F188" s="16">
        <v>14760</v>
      </c>
      <c r="G188" s="16">
        <v>14760</v>
      </c>
      <c r="H188" s="16">
        <v>0</v>
      </c>
    </row>
    <row r="189" spans="2:8" x14ac:dyDescent="0.35">
      <c r="B189" s="14">
        <v>12047</v>
      </c>
      <c r="C189" s="15" t="str">
        <f>"COOPERATIVA DE RADIO COMUNICACAO DE  BELO  HORIZONTE"</f>
        <v>COOPERATIVA DE RADIO COMUNICACAO DE  BELO  HORIZONTE</v>
      </c>
      <c r="D189" s="9">
        <v>46206</v>
      </c>
      <c r="E189" s="9">
        <v>48031</v>
      </c>
      <c r="F189" s="16">
        <v>271454.32</v>
      </c>
      <c r="G189" s="16">
        <v>8844.2900000000009</v>
      </c>
      <c r="H189" s="16">
        <v>262610.03000000003</v>
      </c>
    </row>
    <row r="190" spans="2:8" x14ac:dyDescent="0.35">
      <c r="B190" s="14">
        <v>12048</v>
      </c>
      <c r="C190" s="15" t="str">
        <f>"E AUDITORIA SOFTWARES COMO SERVICO LTDA"</f>
        <v>E AUDITORIA SOFTWARES COMO SERVICO LTDA</v>
      </c>
      <c r="D190" s="9">
        <v>46203</v>
      </c>
      <c r="E190" s="9">
        <v>46568</v>
      </c>
      <c r="F190" s="16">
        <v>11880</v>
      </c>
      <c r="G190" s="16">
        <v>11880</v>
      </c>
      <c r="H190" s="16">
        <v>0</v>
      </c>
    </row>
    <row r="191" spans="2:8" x14ac:dyDescent="0.35">
      <c r="B191" s="14">
        <v>12049</v>
      </c>
      <c r="C191" s="15" t="str">
        <f>"RICCI DIARIOS PUBLICIDADE E AGENCIAMENTO"</f>
        <v>RICCI DIARIOS PUBLICIDADE E AGENCIAMENTO</v>
      </c>
      <c r="D191" s="9">
        <v>46203</v>
      </c>
      <c r="E191" s="9">
        <v>48028</v>
      </c>
      <c r="F191" s="16">
        <v>3070100</v>
      </c>
      <c r="G191" s="16">
        <v>15840</v>
      </c>
      <c r="H191" s="16">
        <v>3054260</v>
      </c>
    </row>
    <row r="192" spans="2:8" x14ac:dyDescent="0.35">
      <c r="B192" s="14">
        <v>12056</v>
      </c>
      <c r="C192" s="15" t="str">
        <f>"TECNETWORKING SERVICOS E SOLUCOES EM TI LTDA"</f>
        <v>TECNETWORKING SERVICOS E SOLUCOES EM TI LTDA</v>
      </c>
      <c r="D192" s="9">
        <v>46223</v>
      </c>
      <c r="E192" s="9">
        <v>46588</v>
      </c>
      <c r="F192" s="16">
        <v>518525</v>
      </c>
      <c r="G192" s="16">
        <v>0</v>
      </c>
      <c r="H192" s="16">
        <v>518525</v>
      </c>
    </row>
    <row r="193" spans="2:8" x14ac:dyDescent="0.35">
      <c r="B193" s="14">
        <v>12058</v>
      </c>
      <c r="C193" s="15" t="str">
        <f>"DEALLINK SERVICOS DE APOIO ADMINISTRATIVO LTDA"</f>
        <v>DEALLINK SERVICOS DE APOIO ADMINISTRATIVO LTDA</v>
      </c>
      <c r="D193" s="9">
        <v>46225</v>
      </c>
      <c r="E193" s="9">
        <v>46590</v>
      </c>
      <c r="F193" s="16">
        <v>170000</v>
      </c>
      <c r="G193" s="16">
        <v>0</v>
      </c>
      <c r="H193" s="16">
        <v>170000</v>
      </c>
    </row>
    <row r="194" spans="2:8" x14ac:dyDescent="0.35">
      <c r="B194" s="14">
        <v>12059</v>
      </c>
      <c r="C194" s="15" t="str">
        <f>"CONSTRUTORA ATRATIVA LTDA"</f>
        <v>CONSTRUTORA ATRATIVA LTDA</v>
      </c>
      <c r="D194" s="9">
        <v>46234</v>
      </c>
      <c r="E194" s="9">
        <v>46507</v>
      </c>
      <c r="F194" s="16">
        <v>2166000</v>
      </c>
      <c r="G194" s="16">
        <v>0</v>
      </c>
      <c r="H194" s="16">
        <v>2166000</v>
      </c>
    </row>
    <row r="195" spans="2:8" x14ac:dyDescent="0.35">
      <c r="B195" s="14">
        <v>12060</v>
      </c>
      <c r="C195" s="15" t="str">
        <f>"MARA TRANSPORTES LTDA"</f>
        <v>MARA TRANSPORTES LTDA</v>
      </c>
      <c r="D195" s="9">
        <v>46246</v>
      </c>
      <c r="E195" s="9">
        <v>46610</v>
      </c>
      <c r="F195" s="16">
        <v>6064</v>
      </c>
      <c r="G195" s="16">
        <v>758</v>
      </c>
      <c r="H195" s="16">
        <v>5306</v>
      </c>
    </row>
    <row r="196" spans="2:8" x14ac:dyDescent="0.35">
      <c r="B196" s="14">
        <v>12061</v>
      </c>
      <c r="C196" s="15" t="str">
        <f>"BRASIL MINAS  PROJETOS E ENGENHARIA  LTDA"</f>
        <v>BRASIL MINAS  PROJETOS E ENGENHARIA  LTDA</v>
      </c>
      <c r="D196" s="9">
        <v>46232</v>
      </c>
      <c r="E196" s="9">
        <v>46596</v>
      </c>
      <c r="F196" s="16">
        <v>12998</v>
      </c>
      <c r="G196" s="16">
        <v>6499</v>
      </c>
      <c r="H196" s="16">
        <v>6499</v>
      </c>
    </row>
    <row r="197" spans="2:8" x14ac:dyDescent="0.35">
      <c r="B197" s="14">
        <v>12062</v>
      </c>
      <c r="C197" s="15" t="str">
        <f>"SPARTANVALE REPRESENTACAO COMERCIO E SERVICOS LTDA"</f>
        <v>SPARTANVALE REPRESENTACAO COMERCIO E SERVICOS LTDA</v>
      </c>
      <c r="D197" s="9">
        <v>46238</v>
      </c>
      <c r="E197" s="9">
        <v>46602</v>
      </c>
      <c r="F197" s="16">
        <v>2021.52</v>
      </c>
      <c r="G197" s="16">
        <v>505.38</v>
      </c>
      <c r="H197" s="16">
        <v>1516.14</v>
      </c>
    </row>
    <row r="198" spans="2:8" x14ac:dyDescent="0.35">
      <c r="B198" s="14">
        <v>12063</v>
      </c>
      <c r="C198" s="15" t="str">
        <f>"SUL MINEIRA COMERCIO DE MATERIAL DE LIMPEZA LTDA"</f>
        <v>SUL MINEIRA COMERCIO DE MATERIAL DE LIMPEZA LTDA</v>
      </c>
      <c r="D198" s="9">
        <v>46239</v>
      </c>
      <c r="E198" s="9">
        <v>46603</v>
      </c>
      <c r="F198" s="16">
        <v>6672</v>
      </c>
      <c r="G198" s="16">
        <v>1668</v>
      </c>
      <c r="H198" s="16">
        <v>5004</v>
      </c>
    </row>
    <row r="199" spans="2:8" x14ac:dyDescent="0.35">
      <c r="B199" s="14">
        <v>12064</v>
      </c>
      <c r="C199" s="15" t="str">
        <f>"IN HAUS INDUSTRIAL E SERVICOS DE LOGISTICA LTDA"</f>
        <v>IN HAUS INDUSTRIAL E SERVICOS DE LOGISTICA LTDA</v>
      </c>
      <c r="D199" s="9">
        <v>46236</v>
      </c>
      <c r="E199" s="9">
        <v>46600</v>
      </c>
      <c r="F199" s="16">
        <v>2007969.65</v>
      </c>
      <c r="G199" s="16">
        <v>0</v>
      </c>
      <c r="H199" s="16">
        <v>2007969.65</v>
      </c>
    </row>
    <row r="200" spans="2:8" x14ac:dyDescent="0.35">
      <c r="B200" s="14">
        <v>12065</v>
      </c>
      <c r="C200" s="15" t="str">
        <f>"CONSTRUPRIME CONSTRUCOES E EMPREENDIMENTOS LTDA"</f>
        <v>CONSTRUPRIME CONSTRUCOES E EMPREENDIMENTOS LTDA</v>
      </c>
      <c r="D200" s="9">
        <v>46238</v>
      </c>
      <c r="E200" s="9">
        <v>46602</v>
      </c>
      <c r="F200" s="16">
        <v>1913136.84</v>
      </c>
      <c r="G200" s="16">
        <v>0</v>
      </c>
      <c r="H200" s="16">
        <v>1913136.84</v>
      </c>
    </row>
    <row r="201" spans="2:8" x14ac:dyDescent="0.35">
      <c r="B201" s="14">
        <v>12066</v>
      </c>
      <c r="C201" s="15" t="str">
        <f>"CENTRAL SUPRIMENTOS LTDA  ME"</f>
        <v>CENTRAL SUPRIMENTOS LTDA  ME</v>
      </c>
      <c r="D201" s="9">
        <v>46247</v>
      </c>
      <c r="E201" s="9">
        <v>46611</v>
      </c>
      <c r="F201" s="16">
        <v>2112</v>
      </c>
      <c r="G201" s="16">
        <v>704</v>
      </c>
      <c r="H201" s="16">
        <v>1408</v>
      </c>
    </row>
    <row r="202" spans="2:8" x14ac:dyDescent="0.35">
      <c r="B202" s="14">
        <v>12067</v>
      </c>
      <c r="C202" s="15" t="str">
        <f>"CS BRASIL FROTAS SA"</f>
        <v>CS BRASIL FROTAS SA</v>
      </c>
      <c r="D202" s="9">
        <v>46254</v>
      </c>
      <c r="E202" s="9">
        <v>48080</v>
      </c>
      <c r="F202" s="16">
        <v>6769998.2000000002</v>
      </c>
      <c r="G202" s="16">
        <v>33502.14</v>
      </c>
      <c r="H202" s="16">
        <v>6736496.0599999996</v>
      </c>
    </row>
    <row r="203" spans="2:8" x14ac:dyDescent="0.35">
      <c r="B203" s="14">
        <v>12068</v>
      </c>
      <c r="C203" s="15" t="str">
        <f>"CRISART EVENTOS LTDA"</f>
        <v>CRISART EVENTOS LTDA</v>
      </c>
      <c r="D203" s="9">
        <v>46253</v>
      </c>
      <c r="E203" s="9">
        <v>46618</v>
      </c>
      <c r="F203" s="16">
        <v>149135.9</v>
      </c>
      <c r="G203" s="16">
        <v>0</v>
      </c>
      <c r="H203" s="16">
        <v>149135.9</v>
      </c>
    </row>
    <row r="204" spans="2:8" x14ac:dyDescent="0.35">
      <c r="B204" s="14">
        <v>12069</v>
      </c>
      <c r="C204" s="15" t="str">
        <f>"CETEST MINAS ENGENHARIA E SERVICOS S A"</f>
        <v>CETEST MINAS ENGENHARIA E SERVICOS S A</v>
      </c>
      <c r="D204" s="9">
        <v>46240</v>
      </c>
      <c r="E204" s="9">
        <v>46332</v>
      </c>
      <c r="F204" s="16">
        <v>702090.32</v>
      </c>
      <c r="G204" s="16">
        <v>0</v>
      </c>
      <c r="H204" s="16">
        <v>702090.32</v>
      </c>
    </row>
    <row r="205" spans="2:8" x14ac:dyDescent="0.35">
      <c r="B205" s="14">
        <v>12070</v>
      </c>
      <c r="C205" s="15" t="str">
        <f>"ALVES E OLIVEIRA SOLUCOES DIGITAIS E VENDA DE EQUIPAMENTOS LTDA"</f>
        <v>ALVES E OLIVEIRA SOLUCOES DIGITAIS E VENDA DE EQUIPAMENTOS LTDA</v>
      </c>
      <c r="D205" s="9">
        <v>46255</v>
      </c>
      <c r="E205" s="9">
        <v>46986</v>
      </c>
      <c r="F205" s="16">
        <v>6640</v>
      </c>
      <c r="G205" s="16">
        <v>0</v>
      </c>
      <c r="H205" s="16">
        <v>6640</v>
      </c>
    </row>
    <row r="206" spans="2:8" x14ac:dyDescent="0.35">
      <c r="B206" s="14">
        <v>12071</v>
      </c>
      <c r="C206" s="15" t="str">
        <f>"TOTVS SA"</f>
        <v>TOTVS SA</v>
      </c>
      <c r="D206" s="9">
        <v>46258</v>
      </c>
      <c r="E206" s="9">
        <v>48084</v>
      </c>
      <c r="F206" s="16">
        <v>2339238.7200000002</v>
      </c>
      <c r="G206" s="16">
        <v>38663.43</v>
      </c>
      <c r="H206" s="16">
        <v>2300575.29</v>
      </c>
    </row>
    <row r="207" spans="2:8" x14ac:dyDescent="0.35">
      <c r="B207" s="14">
        <v>12072</v>
      </c>
      <c r="C207" s="15" t="str">
        <f>"MN TECNOLOGIA E TREINAMENTO LTDA"</f>
        <v>MN TECNOLOGIA E TREINAMENTO LTDA</v>
      </c>
      <c r="D207" s="9">
        <v>46258</v>
      </c>
      <c r="E207" s="9">
        <v>46989</v>
      </c>
      <c r="F207" s="16">
        <v>111472</v>
      </c>
      <c r="G207" s="16">
        <v>111472</v>
      </c>
      <c r="H207" s="16">
        <v>0</v>
      </c>
    </row>
    <row r="208" spans="2:8" x14ac:dyDescent="0.35">
      <c r="B208" s="14">
        <v>12080</v>
      </c>
      <c r="C208" s="15" t="str">
        <f>"TOLENTINO ADVOGADOS"</f>
        <v>TOLENTINO ADVOGADOS</v>
      </c>
      <c r="D208" s="9">
        <v>46259</v>
      </c>
      <c r="E208" s="9">
        <v>48085</v>
      </c>
      <c r="F208" s="16">
        <v>1900000</v>
      </c>
      <c r="G208" s="16">
        <v>630000</v>
      </c>
      <c r="H208" s="16">
        <v>1270000</v>
      </c>
    </row>
    <row r="209" spans="2:8" x14ac:dyDescent="0.35">
      <c r="B209" s="14">
        <v>12082</v>
      </c>
      <c r="C209" s="15" t="str">
        <f>"ASSOCIACAO  NACIONAL DO MINISTERIO PUBLICO DE CONTAS"</f>
        <v>ASSOCIACAO  NACIONAL DO MINISTERIO PUBLICO DE CONTAS</v>
      </c>
      <c r="D209" s="9">
        <v>46262</v>
      </c>
      <c r="E209" s="9">
        <v>46505</v>
      </c>
      <c r="F209" s="16">
        <v>150000</v>
      </c>
      <c r="G209" s="16">
        <v>0</v>
      </c>
      <c r="H209" s="16">
        <v>150000</v>
      </c>
    </row>
    <row r="210" spans="2:8" x14ac:dyDescent="0.35">
      <c r="B210" s="14">
        <v>12083</v>
      </c>
      <c r="C210" s="15" t="str">
        <f>"ELDEX DISTRIBUIDORA DE JORNAIS E REVISTAS LTDA ME"</f>
        <v>ELDEX DISTRIBUIDORA DE JORNAIS E REVISTAS LTDA ME</v>
      </c>
      <c r="D210" s="9">
        <v>46296</v>
      </c>
      <c r="E210" s="9">
        <v>46661</v>
      </c>
      <c r="F210" s="16">
        <v>425</v>
      </c>
      <c r="G210" s="16">
        <v>0</v>
      </c>
      <c r="H210" s="16">
        <v>425</v>
      </c>
    </row>
    <row r="211" spans="2:8" x14ac:dyDescent="0.35">
      <c r="B211" s="14">
        <v>12084</v>
      </c>
      <c r="C211" s="15" t="str">
        <f>"METRICA TECNOLOGIA LTDA"</f>
        <v>METRICA TECNOLOGIA LTDA</v>
      </c>
      <c r="D211" s="9">
        <v>46270</v>
      </c>
      <c r="E211" s="9">
        <v>46635</v>
      </c>
      <c r="F211" s="16">
        <v>1349</v>
      </c>
      <c r="G211" s="16">
        <v>1349</v>
      </c>
      <c r="H211" s="16">
        <v>0</v>
      </c>
    </row>
    <row r="212" spans="2:8" x14ac:dyDescent="0.35">
      <c r="B212" s="14">
        <v>12085</v>
      </c>
      <c r="C212" s="15" t="str">
        <f>"PRODEMGE  CIA DE TECNOL DA INFORMACAO DE MG"</f>
        <v>PRODEMGE  CIA DE TECNOL DA INFORMACAO DE MG</v>
      </c>
      <c r="D212" s="9">
        <v>46296</v>
      </c>
      <c r="E212" s="9">
        <v>46661</v>
      </c>
      <c r="F212" s="16">
        <v>296304</v>
      </c>
      <c r="G212" s="16">
        <v>0</v>
      </c>
      <c r="H212" s="16">
        <v>296304</v>
      </c>
    </row>
    <row r="213" spans="2:8" x14ac:dyDescent="0.35">
      <c r="B213" s="14">
        <v>12086</v>
      </c>
      <c r="C213" s="15" t="str">
        <f>"S2 CONSULTORIA EMPRESARIAL LTDA"</f>
        <v>S2 CONSULTORIA EMPRESARIAL LTDA</v>
      </c>
      <c r="D213" s="9">
        <v>46279</v>
      </c>
      <c r="E213" s="9">
        <v>46549</v>
      </c>
      <c r="F213" s="16">
        <v>131100</v>
      </c>
      <c r="G213" s="16">
        <v>0</v>
      </c>
      <c r="H213" s="16">
        <v>131100</v>
      </c>
    </row>
    <row r="214" spans="2:8" x14ac:dyDescent="0.35">
      <c r="B214" s="14">
        <v>12087</v>
      </c>
      <c r="C214" s="15" t="str">
        <f>"LICITAPRO CONSULTORIA LTDA"</f>
        <v>LICITAPRO CONSULTORIA LTDA</v>
      </c>
      <c r="D214" s="9">
        <v>46157</v>
      </c>
      <c r="E214" s="9">
        <v>46522</v>
      </c>
      <c r="F214" s="16">
        <v>53000</v>
      </c>
      <c r="G214" s="16">
        <v>0</v>
      </c>
      <c r="H214" s="16">
        <v>53000</v>
      </c>
    </row>
  </sheetData>
  <autoFilter ref="H1:H4" xr:uid="{710D4D02-506F-4CD5-A8EE-2CB5CF4958E5}"/>
  <mergeCells count="1">
    <mergeCell ref="B1:H3"/>
  </mergeCells>
  <printOptions horizontalCentered="1"/>
  <pageMargins left="0.70866141732283472" right="0.70866141732283472" top="1.1811023622047245" bottom="0.70866141732283472" header="0.39370078740157483" footer="0.19685039370078741"/>
  <pageSetup paperSize="9" scale="82" fitToHeight="0" orientation="landscape" r:id="rId1"/>
  <headerFooter>
    <oddHeader>&amp;L&amp;G&amp;"-,Negrito"Setembro/2026 - GECOP</oddHeader>
    <oddFooter>&amp;CCompanhia de Desenvolvimento de Minas Gerais - Codemge
Rodovia Papa João Paulo II, 4001, 6º andar do Edifício Gerais Cidade Administrativa de Minas Gerais Serra Verde - CEP 31630-901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Publicar</vt:lpstr>
      <vt:lpstr>Publicar!Titulos_de_impressao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Lúcio Rogério Ramos</dc:creator>
  <cp:lastModifiedBy>Rafaela Rodrigues Fidelis</cp:lastModifiedBy>
  <cp:lastPrinted>2026-10-05T18:22:45Z</cp:lastPrinted>
  <dcterms:created xsi:type="dcterms:W3CDTF">2023-10-02T11:49:44Z</dcterms:created>
  <dcterms:modified xsi:type="dcterms:W3CDTF">2026-10-05T18:23:03Z</dcterms:modified>
</cp:coreProperties>
</file>