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GECOP\COORDENACAO CONTRATOS\6. Planilhas TCE\Execução de Contratos\2026\Excel\"/>
    </mc:Choice>
  </mc:AlternateContent>
  <xr:revisionPtr revIDLastSave="0" documentId="13_ncr:1_{F54A8744-A09E-4D55-8355-77DA84B5D529}" xr6:coauthVersionLast="47" xr6:coauthVersionMax="47" xr10:uidLastSave="{00000000-0000-0000-0000-000000000000}"/>
  <bookViews>
    <workbookView xWindow="-18000" yWindow="-16320" windowWidth="29040" windowHeight="15840" xr2:uid="{16B30FFB-E59C-4EE2-BCD0-F2286668ACC4}"/>
  </bookViews>
  <sheets>
    <sheet name="Publicar" sheetId="1" r:id="rId1"/>
    <sheet name="ERP" sheetId="17" r:id="rId2"/>
  </sheets>
  <definedNames>
    <definedName name="_xlnm._FilterDatabase" localSheetId="1" hidden="1">ERP!$E$1:$E$296</definedName>
    <definedName name="_xlnm._FilterDatabase" localSheetId="0" hidden="1">Publicar!$H$1:$H$4</definedName>
    <definedName name="_xlnm.Print_Titles" localSheetId="0">Publicar!$1:$4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1" i="1" l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B2" i="17"/>
  <c r="B3" i="17"/>
  <c r="B4" i="17"/>
  <c r="B5" i="17"/>
  <c r="B6" i="17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B68" i="17"/>
  <c r="B69" i="17"/>
  <c r="B70" i="17"/>
  <c r="B71" i="17"/>
  <c r="B72" i="17"/>
  <c r="B73" i="17"/>
  <c r="B74" i="17"/>
  <c r="B75" i="17"/>
  <c r="B76" i="17"/>
  <c r="B77" i="17"/>
  <c r="B78" i="17"/>
  <c r="B79" i="17"/>
  <c r="B80" i="17"/>
  <c r="B81" i="17"/>
  <c r="B82" i="17"/>
  <c r="B83" i="17"/>
  <c r="B84" i="17"/>
  <c r="B85" i="17"/>
  <c r="B86" i="17"/>
  <c r="B87" i="17"/>
  <c r="B88" i="17"/>
  <c r="B89" i="17"/>
  <c r="B90" i="17"/>
  <c r="B91" i="17"/>
  <c r="B92" i="17"/>
  <c r="B93" i="17"/>
  <c r="B94" i="17"/>
  <c r="B95" i="17"/>
  <c r="B96" i="17"/>
  <c r="B97" i="17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B113" i="17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B129" i="17"/>
  <c r="B130" i="17"/>
  <c r="B131" i="17"/>
  <c r="B132" i="17"/>
  <c r="B133" i="17"/>
  <c r="B134" i="17"/>
  <c r="B135" i="17"/>
  <c r="B136" i="17"/>
  <c r="B137" i="17"/>
  <c r="B138" i="17"/>
  <c r="B139" i="17"/>
  <c r="B140" i="17"/>
  <c r="B141" i="17"/>
  <c r="B142" i="17"/>
  <c r="B143" i="17"/>
  <c r="B144" i="17"/>
  <c r="B145" i="17"/>
  <c r="B146" i="17"/>
  <c r="B147" i="17"/>
  <c r="B148" i="17"/>
  <c r="B149" i="17"/>
  <c r="B150" i="17"/>
  <c r="B151" i="17"/>
  <c r="B152" i="17"/>
  <c r="B153" i="17"/>
  <c r="B154" i="17"/>
  <c r="B155" i="17"/>
  <c r="B156" i="17"/>
  <c r="B157" i="17"/>
  <c r="B158" i="17"/>
  <c r="B159" i="17"/>
  <c r="B160" i="17"/>
  <c r="B161" i="17"/>
  <c r="B162" i="17"/>
  <c r="B163" i="17"/>
  <c r="B164" i="17"/>
  <c r="B165" i="17"/>
  <c r="B166" i="17"/>
  <c r="B167" i="17"/>
  <c r="B168" i="17"/>
  <c r="B169" i="17"/>
  <c r="B170" i="17"/>
  <c r="B171" i="17"/>
  <c r="B172" i="17"/>
  <c r="B173" i="17"/>
  <c r="B174" i="17"/>
  <c r="B175" i="17"/>
  <c r="B176" i="17"/>
  <c r="B177" i="17"/>
  <c r="B178" i="17"/>
  <c r="B179" i="17"/>
  <c r="B180" i="17"/>
  <c r="B181" i="17"/>
  <c r="B182" i="17"/>
  <c r="B183" i="17"/>
  <c r="B184" i="17"/>
  <c r="B185" i="17"/>
  <c r="B186" i="17"/>
  <c r="B187" i="17"/>
  <c r="B188" i="17"/>
  <c r="B189" i="17"/>
  <c r="B190" i="17"/>
  <c r="B191" i="17"/>
  <c r="B192" i="17"/>
  <c r="B193" i="17"/>
  <c r="B194" i="17"/>
  <c r="B195" i="17"/>
  <c r="B196" i="17"/>
  <c r="B197" i="17"/>
  <c r="B198" i="17"/>
  <c r="B199" i="17"/>
  <c r="B200" i="17"/>
  <c r="B201" i="17"/>
  <c r="B202" i="17"/>
  <c r="B203" i="17"/>
  <c r="B204" i="17"/>
  <c r="B205" i="17"/>
  <c r="B206" i="17"/>
  <c r="B207" i="17"/>
  <c r="B208" i="17"/>
  <c r="B209" i="17"/>
  <c r="B210" i="17"/>
  <c r="B211" i="17"/>
  <c r="B212" i="17"/>
  <c r="B213" i="17"/>
  <c r="B214" i="17"/>
  <c r="B215" i="17"/>
  <c r="B216" i="17"/>
  <c r="B217" i="17"/>
  <c r="B218" i="17"/>
  <c r="B219" i="17"/>
  <c r="B220" i="17"/>
  <c r="B221" i="17"/>
  <c r="B222" i="17"/>
  <c r="B223" i="17"/>
  <c r="B224" i="17"/>
  <c r="B225" i="17"/>
  <c r="B226" i="17"/>
  <c r="B227" i="17"/>
  <c r="B228" i="17"/>
  <c r="B229" i="17"/>
  <c r="B230" i="17"/>
  <c r="B231" i="17"/>
  <c r="B232" i="17"/>
  <c r="B233" i="17"/>
  <c r="B234" i="17"/>
  <c r="B235" i="17"/>
  <c r="B236" i="17"/>
  <c r="B237" i="17"/>
  <c r="B238" i="17"/>
  <c r="B239" i="17"/>
  <c r="B240" i="17"/>
  <c r="B241" i="17"/>
  <c r="B242" i="17"/>
  <c r="B243" i="17"/>
  <c r="B244" i="17"/>
  <c r="B245" i="17"/>
  <c r="B246" i="17"/>
  <c r="B247" i="17"/>
  <c r="B248" i="17"/>
  <c r="B249" i="17"/>
  <c r="B250" i="17"/>
  <c r="B251" i="17"/>
  <c r="B252" i="17"/>
  <c r="B253" i="17"/>
  <c r="B254" i="17"/>
  <c r="B255" i="17"/>
  <c r="B256" i="17"/>
  <c r="B257" i="17"/>
  <c r="B258" i="17"/>
  <c r="B259" i="17"/>
  <c r="B260" i="17"/>
  <c r="B261" i="17"/>
  <c r="B262" i="17"/>
  <c r="B263" i="17"/>
  <c r="B264" i="17"/>
  <c r="B265" i="17"/>
  <c r="B266" i="17"/>
  <c r="B267" i="17"/>
  <c r="B268" i="17"/>
  <c r="B269" i="17"/>
  <c r="B270" i="17"/>
  <c r="B271" i="17"/>
  <c r="B272" i="17"/>
  <c r="B273" i="17"/>
  <c r="B274" i="17"/>
  <c r="B275" i="17"/>
  <c r="B276" i="17"/>
  <c r="B277" i="17"/>
  <c r="B278" i="17"/>
  <c r="B279" i="17"/>
  <c r="B280" i="17"/>
  <c r="B281" i="17"/>
  <c r="B282" i="17"/>
  <c r="B283" i="17"/>
  <c r="B284" i="17"/>
  <c r="B285" i="17"/>
  <c r="B286" i="17"/>
  <c r="B287" i="17"/>
  <c r="B288" i="17"/>
  <c r="B289" i="17"/>
  <c r="B290" i="17"/>
</calcChain>
</file>

<file path=xl/sharedStrings.xml><?xml version="1.0" encoding="utf-8"?>
<sst xmlns="http://schemas.openxmlformats.org/spreadsheetml/2006/main" count="3241" uniqueCount="889">
  <si>
    <t>Saldo Contrato</t>
  </si>
  <si>
    <t>N° do Contrato/Convênio</t>
  </si>
  <si>
    <t>Saldo Inicial</t>
  </si>
  <si>
    <t>Total Executado</t>
  </si>
  <si>
    <t>Fornecedor</t>
  </si>
  <si>
    <t>Informação completa mensalmente atualizada sobre a execução de seus contratos e de seu orçamento, nos termos do art. 88 da Lei 13.303/2016.</t>
  </si>
  <si>
    <t>Contrato</t>
  </si>
  <si>
    <t>Inicio Vigência</t>
  </si>
  <si>
    <t>Data Término</t>
  </si>
  <si>
    <t>Data de Encerramento</t>
  </si>
  <si>
    <t>Data de Início</t>
  </si>
  <si>
    <t>93.336.239,2400</t>
  </si>
  <si>
    <t>10.285.780,0200</t>
  </si>
  <si>
    <t>0,0000</t>
  </si>
  <si>
    <t>31/12/9999</t>
  </si>
  <si>
    <t>0,0100</t>
  </si>
  <si>
    <t>,0000</t>
  </si>
  <si>
    <t>1.367.115,4100</t>
  </si>
  <si>
    <t>2.602.647,9400</t>
  </si>
  <si>
    <t>142.611,3400</t>
  </si>
  <si>
    <t>10.000,0000</t>
  </si>
  <si>
    <t>20/01/2010</t>
  </si>
  <si>
    <t>30/12/9999</t>
  </si>
  <si>
    <t>26/01/2029</t>
  </si>
  <si>
    <t>58.620,0000</t>
  </si>
  <si>
    <t>1.150.140,0000</t>
  </si>
  <si>
    <t>26/03/2026</t>
  </si>
  <si>
    <t>26/03/2027</t>
  </si>
  <si>
    <t>625.526,0000</t>
  </si>
  <si>
    <t>14/01/2016</t>
  </si>
  <si>
    <t>3.281.932,1900</t>
  </si>
  <si>
    <t>29/06/2016</t>
  </si>
  <si>
    <t>26/05/2028</t>
  </si>
  <si>
    <t>4.419,0000</t>
  </si>
  <si>
    <t>21/07/2017</t>
  </si>
  <si>
    <t>102.900,0000</t>
  </si>
  <si>
    <t>31/12/2026</t>
  </si>
  <si>
    <t>7.500,0000</t>
  </si>
  <si>
    <t>19/12/2026</t>
  </si>
  <si>
    <t>52.920,0000</t>
  </si>
  <si>
    <t>23/02/2027</t>
  </si>
  <si>
    <t>28/03/2027</t>
  </si>
  <si>
    <t>29/07/2026</t>
  </si>
  <si>
    <t>79.203,6000</t>
  </si>
  <si>
    <t>92.530.000,0000</t>
  </si>
  <si>
    <t>680.000,0000</t>
  </si>
  <si>
    <t>13/09/2018</t>
  </si>
  <si>
    <t>1.150.941,4700</t>
  </si>
  <si>
    <t>1.068.829,1400</t>
  </si>
  <si>
    <t>82.112,3300</t>
  </si>
  <si>
    <t>336.665,7000</t>
  </si>
  <si>
    <t>23/12/2019</t>
  </si>
  <si>
    <t>26/12/2026</t>
  </si>
  <si>
    <t>44.102,0900</t>
  </si>
  <si>
    <t>28.383,6600</t>
  </si>
  <si>
    <t>15.718,4300</t>
  </si>
  <si>
    <t>20/11/2020</t>
  </si>
  <si>
    <t>20/11/2025</t>
  </si>
  <si>
    <t>70.157.372,0800</t>
  </si>
  <si>
    <t>30/01/2037</t>
  </si>
  <si>
    <t>33.832,8000</t>
  </si>
  <si>
    <t>14/08/2021</t>
  </si>
  <si>
    <t>40.000,0000</t>
  </si>
  <si>
    <t>32.000,0000</t>
  </si>
  <si>
    <t>8.000,0000</t>
  </si>
  <si>
    <t>20/07/2021</t>
  </si>
  <si>
    <t>30/08/2031</t>
  </si>
  <si>
    <t>178.028,4800</t>
  </si>
  <si>
    <t>24/08/2021</t>
  </si>
  <si>
    <t>23/08/2026</t>
  </si>
  <si>
    <t>30/08/2021</t>
  </si>
  <si>
    <t>3.037.289,4500</t>
  </si>
  <si>
    <t>435.114,2200</t>
  </si>
  <si>
    <t>603.438,6700</t>
  </si>
  <si>
    <t>1.268.877,0400</t>
  </si>
  <si>
    <t>23/08/2021</t>
  </si>
  <si>
    <t>1.947.914,3600</t>
  </si>
  <si>
    <t>16/12/2021</t>
  </si>
  <si>
    <t>16/12/2026</t>
  </si>
  <si>
    <t>9.617.723,4600</t>
  </si>
  <si>
    <t>10.686.200,0000</t>
  </si>
  <si>
    <t>4.430.340,1000</t>
  </si>
  <si>
    <t>6.255.859,9000</t>
  </si>
  <si>
    <t>17/12/2021</t>
  </si>
  <si>
    <t>31/10/2026</t>
  </si>
  <si>
    <t>24.900,0000</t>
  </si>
  <si>
    <t>18/01/2022</t>
  </si>
  <si>
    <t>23.278.165,5000</t>
  </si>
  <si>
    <t>20/01/2022</t>
  </si>
  <si>
    <t>20/01/2027</t>
  </si>
  <si>
    <t>522.522,0500</t>
  </si>
  <si>
    <t>27/01/2022</t>
  </si>
  <si>
    <t>27/01/2027</t>
  </si>
  <si>
    <t>44.668,0000</t>
  </si>
  <si>
    <t>18/01/2027</t>
  </si>
  <si>
    <t>13.831,1000</t>
  </si>
  <si>
    <t>12.275,3200</t>
  </si>
  <si>
    <t>1.555,7800</t>
  </si>
  <si>
    <t>24/01/2022</t>
  </si>
  <si>
    <t>24/01/2027</t>
  </si>
  <si>
    <t>300.000,0000</t>
  </si>
  <si>
    <t>46.340,1700</t>
  </si>
  <si>
    <t>22/03/2022</t>
  </si>
  <si>
    <t>22/03/2027</t>
  </si>
  <si>
    <t>15.918,1200</t>
  </si>
  <si>
    <t>850.000,0000</t>
  </si>
  <si>
    <t>18/03/2027</t>
  </si>
  <si>
    <t>953.640,0000</t>
  </si>
  <si>
    <t>126.113,6400</t>
  </si>
  <si>
    <t>30/05/2027</t>
  </si>
  <si>
    <t>126.169,8900</t>
  </si>
  <si>
    <t>29/06/2022</t>
  </si>
  <si>
    <t>29/06/2027</t>
  </si>
  <si>
    <t>2.175.000,0000</t>
  </si>
  <si>
    <t>167.100,0000</t>
  </si>
  <si>
    <t>2.007.900,0000</t>
  </si>
  <si>
    <t>18/07/2022</t>
  </si>
  <si>
    <t>18/07/2027</t>
  </si>
  <si>
    <t>1.894.641,2000</t>
  </si>
  <si>
    <t>59.154,0000</t>
  </si>
  <si>
    <t>18/08/2022</t>
  </si>
  <si>
    <t>17/08/2027</t>
  </si>
  <si>
    <t>1.139.888,0000</t>
  </si>
  <si>
    <t>1.611.000,0000</t>
  </si>
  <si>
    <t>220.000,0000</t>
  </si>
  <si>
    <t>1.391.000,0000</t>
  </si>
  <si>
    <t>810.180,0000</t>
  </si>
  <si>
    <t>435.772,3800</t>
  </si>
  <si>
    <t>4.447.946,0500</t>
  </si>
  <si>
    <t>247.478,0600</t>
  </si>
  <si>
    <t>184.948,6000</t>
  </si>
  <si>
    <t>62.529,4600</t>
  </si>
  <si>
    <t>109.517,0400</t>
  </si>
  <si>
    <t>96.601,2000</t>
  </si>
  <si>
    <t>12.915,8400</t>
  </si>
  <si>
    <t>8.400.000,0000</t>
  </si>
  <si>
    <t>30/11/2022</t>
  </si>
  <si>
    <t>30/11/2027</t>
  </si>
  <si>
    <t>456.597,6000</t>
  </si>
  <si>
    <t>16/01/2023</t>
  </si>
  <si>
    <t>16/01/2028</t>
  </si>
  <si>
    <t>7.877.744,0300</t>
  </si>
  <si>
    <t>908.210,7400</t>
  </si>
  <si>
    <t>693.050,9800</t>
  </si>
  <si>
    <t>215.159,7600</t>
  </si>
  <si>
    <t>15/12/2022</t>
  </si>
  <si>
    <t>16/01/2027</t>
  </si>
  <si>
    <t>38.654,9000</t>
  </si>
  <si>
    <t>29.162,2500</t>
  </si>
  <si>
    <t>9.492,6500</t>
  </si>
  <si>
    <t>16/03/2023</t>
  </si>
  <si>
    <t>16/03/2027</t>
  </si>
  <si>
    <t>3.375,0000</t>
  </si>
  <si>
    <t>1.600,0500</t>
  </si>
  <si>
    <t>1.774,9500</t>
  </si>
  <si>
    <t>27/02/2023</t>
  </si>
  <si>
    <t>27/02/2028</t>
  </si>
  <si>
    <t>669.000,0000</t>
  </si>
  <si>
    <t>227.416,0500</t>
  </si>
  <si>
    <t>441.583,9500</t>
  </si>
  <si>
    <t>31/03/2023</t>
  </si>
  <si>
    <t>31/03/2027</t>
  </si>
  <si>
    <t>2.077.944,2600</t>
  </si>
  <si>
    <t>19/04/2023</t>
  </si>
  <si>
    <t>19/08/2026</t>
  </si>
  <si>
    <t>13.854.718,0800</t>
  </si>
  <si>
    <t>16/10/2023</t>
  </si>
  <si>
    <t>16/10/2028</t>
  </si>
  <si>
    <t>2.098.032,3600</t>
  </si>
  <si>
    <t>1.391,4000</t>
  </si>
  <si>
    <t>21/04/2023</t>
  </si>
  <si>
    <t>20/04/2028</t>
  </si>
  <si>
    <t>9.436.219,9700</t>
  </si>
  <si>
    <t>597.573,3300</t>
  </si>
  <si>
    <t>597.573,2900</t>
  </si>
  <si>
    <t>0,0400</t>
  </si>
  <si>
    <t>83.413.751,7400</t>
  </si>
  <si>
    <t>27/07/2023</t>
  </si>
  <si>
    <t>27/07/2027</t>
  </si>
  <si>
    <t>384.827,5200</t>
  </si>
  <si>
    <t>30/08/2023</t>
  </si>
  <si>
    <t>30/08/2028</t>
  </si>
  <si>
    <t>285.999,6500</t>
  </si>
  <si>
    <t>248.863,7900</t>
  </si>
  <si>
    <t>12.144,4800</t>
  </si>
  <si>
    <t>26/09/2023</t>
  </si>
  <si>
    <t>26/09/2026</t>
  </si>
  <si>
    <t>1.459.177,2600</t>
  </si>
  <si>
    <t>20/09/2023</t>
  </si>
  <si>
    <t>20/09/2026</t>
  </si>
  <si>
    <t>233.820,0000</t>
  </si>
  <si>
    <t>28/09/2023</t>
  </si>
  <si>
    <t>27/12/2026</t>
  </si>
  <si>
    <t>77.863,3100</t>
  </si>
  <si>
    <t>20/10/2023</t>
  </si>
  <si>
    <t>20/10/2026</t>
  </si>
  <si>
    <t>55.350,0000</t>
  </si>
  <si>
    <t>52.733,4000</t>
  </si>
  <si>
    <t>2.616,6000</t>
  </si>
  <si>
    <t>23/11/2023</t>
  </si>
  <si>
    <t>23/11/2028</t>
  </si>
  <si>
    <t>3.700.000,0000</t>
  </si>
  <si>
    <t>18.185.513,5100</t>
  </si>
  <si>
    <t>18.008.652,7000</t>
  </si>
  <si>
    <t>176.860,8100</t>
  </si>
  <si>
    <t>5.016.317,2300</t>
  </si>
  <si>
    <t>28/11/2023</t>
  </si>
  <si>
    <t>110.718,9100</t>
  </si>
  <si>
    <t>106.089,6000</t>
  </si>
  <si>
    <t>4.629,3100</t>
  </si>
  <si>
    <t>27/11/2023</t>
  </si>
  <si>
    <t>27/11/2026</t>
  </si>
  <si>
    <t>1.792.296,0000</t>
  </si>
  <si>
    <t>14/12/2023</t>
  </si>
  <si>
    <t>14/12/2026</t>
  </si>
  <si>
    <t>70.920,0000</t>
  </si>
  <si>
    <t>6.244.757,1400</t>
  </si>
  <si>
    <t>6.201.226,0500</t>
  </si>
  <si>
    <t>43.531,0900</t>
  </si>
  <si>
    <t>31/07/2026</t>
  </si>
  <si>
    <t>30/12/2026</t>
  </si>
  <si>
    <t>106.673,7400</t>
  </si>
  <si>
    <t>165.600,0000</t>
  </si>
  <si>
    <t>26/02/2024</t>
  </si>
  <si>
    <t>26/02/2027</t>
  </si>
  <si>
    <t>10.000.000,0000</t>
  </si>
  <si>
    <t>12.086.072,6000</t>
  </si>
  <si>
    <t>95.648,5200</t>
  </si>
  <si>
    <t>30/04/2024</t>
  </si>
  <si>
    <t>30/04/2029</t>
  </si>
  <si>
    <t>17.860.269,7200</t>
  </si>
  <si>
    <t>1.122.278,3900</t>
  </si>
  <si>
    <t>16.737.991,3300</t>
  </si>
  <si>
    <t>28.685,2100</t>
  </si>
  <si>
    <t>21/05/2024</t>
  </si>
  <si>
    <t>21/11/2026</t>
  </si>
  <si>
    <t>1.004.967,8400</t>
  </si>
  <si>
    <t>21/05/2027</t>
  </si>
  <si>
    <t>1.006.231,7900</t>
  </si>
  <si>
    <t>574.920,5200</t>
  </si>
  <si>
    <t>431.311,2700</t>
  </si>
  <si>
    <t>50.000,0000</t>
  </si>
  <si>
    <t>16/05/2024</t>
  </si>
  <si>
    <t>15/05/2029</t>
  </si>
  <si>
    <t>31/07/2024</t>
  </si>
  <si>
    <t>1.347.831,4500</t>
  </si>
  <si>
    <t>13/06/2029</t>
  </si>
  <si>
    <t>545.544,0300</t>
  </si>
  <si>
    <t>27/05/2024</t>
  </si>
  <si>
    <t>27/05/2027</t>
  </si>
  <si>
    <t>133.561,7400</t>
  </si>
  <si>
    <t>14/06/2024</t>
  </si>
  <si>
    <t>216.032,0000</t>
  </si>
  <si>
    <t>19/06/2024</t>
  </si>
  <si>
    <t>18/06/2027</t>
  </si>
  <si>
    <t>36.000.000,7500</t>
  </si>
  <si>
    <t>23/07/2024</t>
  </si>
  <si>
    <t>23/07/2027</t>
  </si>
  <si>
    <t>598.461,6400</t>
  </si>
  <si>
    <t>26/06/2024</t>
  </si>
  <si>
    <t>30.610,7000</t>
  </si>
  <si>
    <t>22.692,0900</t>
  </si>
  <si>
    <t>7.918,6100</t>
  </si>
  <si>
    <t>362.836,0000</t>
  </si>
  <si>
    <t>15/07/2024</t>
  </si>
  <si>
    <t>14/07/2029</t>
  </si>
  <si>
    <t>241.000,0000</t>
  </si>
  <si>
    <t>222.925,0000</t>
  </si>
  <si>
    <t>18.075,0000</t>
  </si>
  <si>
    <t>590.688,1800</t>
  </si>
  <si>
    <t>32.500.000,0000</t>
  </si>
  <si>
    <t>4.650.000,0000</t>
  </si>
  <si>
    <t>28/06/2024</t>
  </si>
  <si>
    <t>2.068.396,5400</t>
  </si>
  <si>
    <t>931.102,2800</t>
  </si>
  <si>
    <t>322.150,4500</t>
  </si>
  <si>
    <t>608.951,8300</t>
  </si>
  <si>
    <t>30/07/2029</t>
  </si>
  <si>
    <t>2.416.584,1200</t>
  </si>
  <si>
    <t>26/08/2024</t>
  </si>
  <si>
    <t>26/08/2027</t>
  </si>
  <si>
    <t>21/08/2026</t>
  </si>
  <si>
    <t>1.867.210,0000</t>
  </si>
  <si>
    <t>27/08/2024</t>
  </si>
  <si>
    <t>27/09/2027</t>
  </si>
  <si>
    <t>15.006,7900</t>
  </si>
  <si>
    <t>95.198,4300</t>
  </si>
  <si>
    <t>1.397.336,4500</t>
  </si>
  <si>
    <t>593.845,5000</t>
  </si>
  <si>
    <t>16/10/2024</t>
  </si>
  <si>
    <t>16/10/2026</t>
  </si>
  <si>
    <t>1.169.864,0000</t>
  </si>
  <si>
    <t>24/10/2024</t>
  </si>
  <si>
    <t>24/10/2026</t>
  </si>
  <si>
    <t>190.000,0000</t>
  </si>
  <si>
    <t>30/10/2024</t>
  </si>
  <si>
    <t>30/10/2027</t>
  </si>
  <si>
    <t>41.239,6500</t>
  </si>
  <si>
    <t>156.739,6800</t>
  </si>
  <si>
    <t>607.500,0000</t>
  </si>
  <si>
    <t>421.670,8200</t>
  </si>
  <si>
    <t>185.829,1800</t>
  </si>
  <si>
    <t>23.876,1600</t>
  </si>
  <si>
    <t>581.087,9800</t>
  </si>
  <si>
    <t>43.968,0000</t>
  </si>
  <si>
    <t>353.306,6000</t>
  </si>
  <si>
    <t>26/11/2024</t>
  </si>
  <si>
    <t>25/11/2027</t>
  </si>
  <si>
    <t>400.509,6000</t>
  </si>
  <si>
    <t>17/12/2024</t>
  </si>
  <si>
    <t>17/12/2026</t>
  </si>
  <si>
    <t>5.186.330,3000</t>
  </si>
  <si>
    <t>2.512.436,3000</t>
  </si>
  <si>
    <t>2.673.894,0000</t>
  </si>
  <si>
    <t>30/12/2024</t>
  </si>
  <si>
    <t>34.000,0000</t>
  </si>
  <si>
    <t>1.223.406,1300</t>
  </si>
  <si>
    <t>195.744,0000</t>
  </si>
  <si>
    <t>28/01/2025</t>
  </si>
  <si>
    <t>28/01/2027</t>
  </si>
  <si>
    <t>2.304.871,9800</t>
  </si>
  <si>
    <t>19.560,0000</t>
  </si>
  <si>
    <t>21/02/2025</t>
  </si>
  <si>
    <t>21/02/2027</t>
  </si>
  <si>
    <t>259.047,0000</t>
  </si>
  <si>
    <t>259.046,9900</t>
  </si>
  <si>
    <t>20/02/2025</t>
  </si>
  <si>
    <t>20/02/2030</t>
  </si>
  <si>
    <t>337.500,0000</t>
  </si>
  <si>
    <t>209.250,0000</t>
  </si>
  <si>
    <t>128.250,0000</t>
  </si>
  <si>
    <t>18/03/2025</t>
  </si>
  <si>
    <t>18/11/2026</t>
  </si>
  <si>
    <t>562.990,5100</t>
  </si>
  <si>
    <t>23.747,1600</t>
  </si>
  <si>
    <t>25/01/2027</t>
  </si>
  <si>
    <t>20.480.000,0000</t>
  </si>
  <si>
    <t>18.480.000,0000</t>
  </si>
  <si>
    <t>2.000.000,0000</t>
  </si>
  <si>
    <t>28/03/2025</t>
  </si>
  <si>
    <t>74.400,0000</t>
  </si>
  <si>
    <t>37.200,0000</t>
  </si>
  <si>
    <t>31.708,8900</t>
  </si>
  <si>
    <t>22/05/2025</t>
  </si>
  <si>
    <t>22/05/2027</t>
  </si>
  <si>
    <t>3.489.011,0000</t>
  </si>
  <si>
    <t>14/04/2025</t>
  </si>
  <si>
    <t>15/01/2027</t>
  </si>
  <si>
    <t>23.186.137,2400</t>
  </si>
  <si>
    <t>7.009.534,5100</t>
  </si>
  <si>
    <t>16.176.602,7300</t>
  </si>
  <si>
    <t>6.058.351,0000</t>
  </si>
  <si>
    <t>14/05/2025</t>
  </si>
  <si>
    <t>470.950,0000</t>
  </si>
  <si>
    <t>19/05/2025</t>
  </si>
  <si>
    <t>19/05/2027</t>
  </si>
  <si>
    <t>20.000.000,0000</t>
  </si>
  <si>
    <t>30/05/2025</t>
  </si>
  <si>
    <t>4.680.898,2000</t>
  </si>
  <si>
    <t>23/06/2025</t>
  </si>
  <si>
    <t>23/05/2028</t>
  </si>
  <si>
    <t>34.778,8600</t>
  </si>
  <si>
    <t>12.982,2700</t>
  </si>
  <si>
    <t>21.796,5900</t>
  </si>
  <si>
    <t>27/06/2025</t>
  </si>
  <si>
    <t>27/06/2027</t>
  </si>
  <si>
    <t>966.000,0000</t>
  </si>
  <si>
    <t>18/06/2025</t>
  </si>
  <si>
    <t>24/06/2027</t>
  </si>
  <si>
    <t>440.030,8900</t>
  </si>
  <si>
    <t>173.757,7200</t>
  </si>
  <si>
    <t>266.273,1700</t>
  </si>
  <si>
    <t>21/06/2030</t>
  </si>
  <si>
    <t>4.956,0000</t>
  </si>
  <si>
    <t>25/06/2025</t>
  </si>
  <si>
    <t>14.250,8200</t>
  </si>
  <si>
    <t>30/06/2029</t>
  </si>
  <si>
    <t>1.677.000,0000</t>
  </si>
  <si>
    <t>1.173.900,0000</t>
  </si>
  <si>
    <t>503.100,0000</t>
  </si>
  <si>
    <t>752.799,7000</t>
  </si>
  <si>
    <t>344.300,0000</t>
  </si>
  <si>
    <t>13/11/2024</t>
  </si>
  <si>
    <t>13/11/2026</t>
  </si>
  <si>
    <t>3.299.766,5900</t>
  </si>
  <si>
    <t>124.967,7000</t>
  </si>
  <si>
    <t>3.174.798,8900</t>
  </si>
  <si>
    <t>200.912,9900</t>
  </si>
  <si>
    <t>13/08/2025</t>
  </si>
  <si>
    <t>13/08/2027</t>
  </si>
  <si>
    <t>567.889,9200</t>
  </si>
  <si>
    <t>15/09/2025</t>
  </si>
  <si>
    <t>14/09/2026</t>
  </si>
  <si>
    <t>5.034,1500</t>
  </si>
  <si>
    <t>87.535,0000</t>
  </si>
  <si>
    <t>18.268,5000</t>
  </si>
  <si>
    <t>69.266,5000</t>
  </si>
  <si>
    <t>19/08/2025</t>
  </si>
  <si>
    <t>18/08/2030</t>
  </si>
  <si>
    <t>2.960,0000</t>
  </si>
  <si>
    <t>2.340,0000</t>
  </si>
  <si>
    <t>25/08/2025</t>
  </si>
  <si>
    <t>25/08/2030</t>
  </si>
  <si>
    <t>649.800,0000</t>
  </si>
  <si>
    <t>21/08/2025</t>
  </si>
  <si>
    <t>20/08/2026</t>
  </si>
  <si>
    <t>11.821.714,9900</t>
  </si>
  <si>
    <t>20/08/2025</t>
  </si>
  <si>
    <t>3.455.983,0200</t>
  </si>
  <si>
    <t>3.394.663,0200</t>
  </si>
  <si>
    <t>61.320,0000</t>
  </si>
  <si>
    <t>30/10/2025</t>
  </si>
  <si>
    <t>29/10/2030</t>
  </si>
  <si>
    <t>5.150,0790</t>
  </si>
  <si>
    <t>31/07/2025</t>
  </si>
  <si>
    <t>31/07/2027</t>
  </si>
  <si>
    <t>129.926,3800</t>
  </si>
  <si>
    <t>17/09/2025</t>
  </si>
  <si>
    <t>17/09/2030</t>
  </si>
  <si>
    <t>33.300,0000</t>
  </si>
  <si>
    <t>24/09/2025</t>
  </si>
  <si>
    <t>24/09/2027</t>
  </si>
  <si>
    <t>9.360,0000</t>
  </si>
  <si>
    <t>23/09/2026</t>
  </si>
  <si>
    <t>6.393,2000</t>
  </si>
  <si>
    <t>550.000,0000</t>
  </si>
  <si>
    <t>23/10/2025</t>
  </si>
  <si>
    <t>30/08/2026</t>
  </si>
  <si>
    <t>100.000,0000</t>
  </si>
  <si>
    <t>5.000,0000</t>
  </si>
  <si>
    <t>3.709.000,0000</t>
  </si>
  <si>
    <t>22/10/2026</t>
  </si>
  <si>
    <t>186.341,3400</t>
  </si>
  <si>
    <t>255.780,0000</t>
  </si>
  <si>
    <t>97.720,0000</t>
  </si>
  <si>
    <t>158.060,0000</t>
  </si>
  <si>
    <t>19/11/2025</t>
  </si>
  <si>
    <t>2.873.959,7400</t>
  </si>
  <si>
    <t>129.798,6400</t>
  </si>
  <si>
    <t>23/10/2026</t>
  </si>
  <si>
    <t>26/11/2025</t>
  </si>
  <si>
    <t>337.040,0000</t>
  </si>
  <si>
    <t>15/10/2025</t>
  </si>
  <si>
    <t>15/10/2027</t>
  </si>
  <si>
    <t>76.000,0000</t>
  </si>
  <si>
    <t>200.000,0000</t>
  </si>
  <si>
    <t>143.130,3000</t>
  </si>
  <si>
    <t>56.869,7000</t>
  </si>
  <si>
    <t>29/10/2025</t>
  </si>
  <si>
    <t>34.472,5000</t>
  </si>
  <si>
    <t>33.309,6000</t>
  </si>
  <si>
    <t>1.162,9000</t>
  </si>
  <si>
    <t>216.554,8000</t>
  </si>
  <si>
    <t>17/11/2025</t>
  </si>
  <si>
    <t>16/11/2026</t>
  </si>
  <si>
    <t>7.522.594,6700</t>
  </si>
  <si>
    <t>225.677,8400</t>
  </si>
  <si>
    <t>7.296.916,8300</t>
  </si>
  <si>
    <t>6.175.950,0000</t>
  </si>
  <si>
    <t>19/01/2026</t>
  </si>
  <si>
    <t>500.000,0000</t>
  </si>
  <si>
    <t>298.480,0000</t>
  </si>
  <si>
    <t>1.520,0000</t>
  </si>
  <si>
    <t>27/11/2025</t>
  </si>
  <si>
    <t>26/11/2026</t>
  </si>
  <si>
    <t>45.000,0000</t>
  </si>
  <si>
    <t>14/11/2025</t>
  </si>
  <si>
    <t>14/11/2026</t>
  </si>
  <si>
    <t>700.000,0000</t>
  </si>
  <si>
    <t>525.000,0000</t>
  </si>
  <si>
    <t>175.000,0000</t>
  </si>
  <si>
    <t>15/12/2025</t>
  </si>
  <si>
    <t>6.500,0000</t>
  </si>
  <si>
    <t>4.667,5000</t>
  </si>
  <si>
    <t>1.832,5000</t>
  </si>
  <si>
    <t>19/11/2026</t>
  </si>
  <si>
    <t>2.560.582,5600</t>
  </si>
  <si>
    <t>18/11/2025</t>
  </si>
  <si>
    <t>17/11/2026</t>
  </si>
  <si>
    <t>12.300,0000</t>
  </si>
  <si>
    <t>7.483,7600</t>
  </si>
  <si>
    <t>4.816,2400</t>
  </si>
  <si>
    <t>28/11/2025</t>
  </si>
  <si>
    <t>227.504,9600</t>
  </si>
  <si>
    <t>218.524,5700</t>
  </si>
  <si>
    <t>8.980,3900</t>
  </si>
  <si>
    <t>29/11/2025</t>
  </si>
  <si>
    <t>29/08/2026</t>
  </si>
  <si>
    <t>789.833,3500</t>
  </si>
  <si>
    <t>26/11/2030</t>
  </si>
  <si>
    <t>99.920,0000</t>
  </si>
  <si>
    <t>16/12/2025</t>
  </si>
  <si>
    <t>350.000,0000</t>
  </si>
  <si>
    <t>22/12/2025</t>
  </si>
  <si>
    <t>752.000,0000</t>
  </si>
  <si>
    <t>300.800,0000</t>
  </si>
  <si>
    <t>451.200,0000</t>
  </si>
  <si>
    <t>23/12/2025</t>
  </si>
  <si>
    <t>23/12/2026</t>
  </si>
  <si>
    <t>24/12/2025</t>
  </si>
  <si>
    <t>99.677,1400</t>
  </si>
  <si>
    <t>78.960,0000</t>
  </si>
  <si>
    <t>39.480,0000</t>
  </si>
  <si>
    <t>29/12/2025</t>
  </si>
  <si>
    <t>2.585.883,8800</t>
  </si>
  <si>
    <t>28/10/2026</t>
  </si>
  <si>
    <t>3.198.771,2850</t>
  </si>
  <si>
    <t>3.198.771,2800</t>
  </si>
  <si>
    <t>0,0050</t>
  </si>
  <si>
    <t>30/12/2025</t>
  </si>
  <si>
    <t>5.086.606,4022</t>
  </si>
  <si>
    <t>5.086.471,1000</t>
  </si>
  <si>
    <t>538.000,0000</t>
  </si>
  <si>
    <t>486.180,0000</t>
  </si>
  <si>
    <t>51.820,0000</t>
  </si>
  <si>
    <t>29/12/2026</t>
  </si>
  <si>
    <t>2.070.000,0000</t>
  </si>
  <si>
    <t>28/02/2027</t>
  </si>
  <si>
    <t>29.396.830,0300</t>
  </si>
  <si>
    <t>2.057.778,1300</t>
  </si>
  <si>
    <t>27.339.051,9000</t>
  </si>
  <si>
    <t>2.386.283,6000</t>
  </si>
  <si>
    <t>28/01/2026</t>
  </si>
  <si>
    <t>150.000,0000</t>
  </si>
  <si>
    <t>6.930,0000</t>
  </si>
  <si>
    <t>1.404.180,6600</t>
  </si>
  <si>
    <t>1.239,3200</t>
  </si>
  <si>
    <t>27/03/2026</t>
  </si>
  <si>
    <t>26/03/2031</t>
  </si>
  <si>
    <t>39.600.000,0000</t>
  </si>
  <si>
    <t>94.752,0000</t>
  </si>
  <si>
    <t>265.500,0000</t>
  </si>
  <si>
    <t>24/02/2026</t>
  </si>
  <si>
    <t>25/08/2026</t>
  </si>
  <si>
    <t>57.000,0000</t>
  </si>
  <si>
    <t>47.490,5000</t>
  </si>
  <si>
    <t>9.509,5000</t>
  </si>
  <si>
    <t>5.215.427,0000</t>
  </si>
  <si>
    <t>670.182,3700</t>
  </si>
  <si>
    <t>4.545.244,6300</t>
  </si>
  <si>
    <t>22/02/2026</t>
  </si>
  <si>
    <t>21/10/2026</t>
  </si>
  <si>
    <t>72.800,0000</t>
  </si>
  <si>
    <t>25/02/2026</t>
  </si>
  <si>
    <t>24/12/2026</t>
  </si>
  <si>
    <t>560.000,0000</t>
  </si>
  <si>
    <t>1.000.000,0000</t>
  </si>
  <si>
    <t>26/02/2026</t>
  </si>
  <si>
    <t>30/09/2026</t>
  </si>
  <si>
    <t>1.680.000,0000</t>
  </si>
  <si>
    <t>120.000,0000</t>
  </si>
  <si>
    <t>24/05/2026</t>
  </si>
  <si>
    <t>23/11/2026</t>
  </si>
  <si>
    <t>225.000,0000</t>
  </si>
  <si>
    <t>75.000,0000</t>
  </si>
  <si>
    <t>13/03/2026</t>
  </si>
  <si>
    <t>13/03/2027</t>
  </si>
  <si>
    <t>334.227,5300</t>
  </si>
  <si>
    <t>15.772,4700</t>
  </si>
  <si>
    <t>23/03/2026</t>
  </si>
  <si>
    <t>22/11/2026</t>
  </si>
  <si>
    <t>123.329,6300</t>
  </si>
  <si>
    <t>27/12/2027</t>
  </si>
  <si>
    <t>160.000,0000</t>
  </si>
  <si>
    <t>29/03/2026</t>
  </si>
  <si>
    <t>400.000,0000</t>
  </si>
  <si>
    <t>28/04/2026</t>
  </si>
  <si>
    <t>510.000,0000</t>
  </si>
  <si>
    <t>15/04/2026</t>
  </si>
  <si>
    <t>14/06/2027</t>
  </si>
  <si>
    <t>199.827,6000</t>
  </si>
  <si>
    <t>17/04/2026</t>
  </si>
  <si>
    <t>177.612,7000</t>
  </si>
  <si>
    <t>40.359,9100</t>
  </si>
  <si>
    <t>137.252,7900</t>
  </si>
  <si>
    <t>8.233,9200</t>
  </si>
  <si>
    <t>2.058,4800</t>
  </si>
  <si>
    <t>6.175,4400</t>
  </si>
  <si>
    <t>30/04/2026</t>
  </si>
  <si>
    <t>29/04/2027</t>
  </si>
  <si>
    <t>13.800,0000</t>
  </si>
  <si>
    <t>20/12/2026</t>
  </si>
  <si>
    <t>18.135,6000</t>
  </si>
  <si>
    <t>315.942,0000</t>
  </si>
  <si>
    <t>15/05/2026</t>
  </si>
  <si>
    <t>15/05/2031</t>
  </si>
  <si>
    <t>125.000,0000</t>
  </si>
  <si>
    <t>13/05/2026</t>
  </si>
  <si>
    <t>17/01/2027</t>
  </si>
  <si>
    <t>19/05/2026</t>
  </si>
  <si>
    <t>68.000,0000</t>
  </si>
  <si>
    <t>46.500,0000</t>
  </si>
  <si>
    <t>21.500,0000</t>
  </si>
  <si>
    <t>14/10/2026</t>
  </si>
  <si>
    <t>650.000,0000</t>
  </si>
  <si>
    <t>25/12/2026</t>
  </si>
  <si>
    <t>180.000,0000</t>
  </si>
  <si>
    <t>22/01/2027</t>
  </si>
  <si>
    <t>900.000,0000</t>
  </si>
  <si>
    <t>13/12/2026</t>
  </si>
  <si>
    <t>35.000,0000</t>
  </si>
  <si>
    <t>24.139.245,4400</t>
  </si>
  <si>
    <t>362.656,9400</t>
  </si>
  <si>
    <t>23.776.588,5000</t>
  </si>
  <si>
    <t>17/06/2026</t>
  </si>
  <si>
    <t>17/06/2029</t>
  </si>
  <si>
    <t>17/02/2027</t>
  </si>
  <si>
    <t>96.000,0000</t>
  </si>
  <si>
    <t>16/06/2026</t>
  </si>
  <si>
    <t>26/01/2027</t>
  </si>
  <si>
    <t>80.000,0000</t>
  </si>
  <si>
    <t>15/06/2026</t>
  </si>
  <si>
    <t>78.570,0000</t>
  </si>
  <si>
    <t>21.430,0000</t>
  </si>
  <si>
    <t>24/06/2026</t>
  </si>
  <si>
    <t>170.700,0000</t>
  </si>
  <si>
    <t>56.900,0000</t>
  </si>
  <si>
    <t>113.800,0000</t>
  </si>
  <si>
    <t>25/06/2026</t>
  </si>
  <si>
    <t>25/06/2029</t>
  </si>
  <si>
    <t>14.760,0000</t>
  </si>
  <si>
    <t>54.138.000,0000</t>
  </si>
  <si>
    <t>29/06/2026</t>
  </si>
  <si>
    <t>29/09/2026</t>
  </si>
  <si>
    <t>30/06/2026</t>
  </si>
  <si>
    <t>14.000.000,0000</t>
  </si>
  <si>
    <t>13.150.000,0000</t>
  </si>
  <si>
    <t>271.454,3200</t>
  </si>
  <si>
    <t>11.880,0000</t>
  </si>
  <si>
    <t>30/06/2027</t>
  </si>
  <si>
    <t>3.070.100,0000</t>
  </si>
  <si>
    <t>15.840,0000</t>
  </si>
  <si>
    <t>3.054.260,0000</t>
  </si>
  <si>
    <t>29/06/2031</t>
  </si>
  <si>
    <t>52.080,0000</t>
  </si>
  <si>
    <t>15/08/2027</t>
  </si>
  <si>
    <t>270.500,0000</t>
  </si>
  <si>
    <t>22/07/2026</t>
  </si>
  <si>
    <t>22/07/2031</t>
  </si>
  <si>
    <t>518.525,0000</t>
  </si>
  <si>
    <t>20/07/2026</t>
  </si>
  <si>
    <t>20/07/2027</t>
  </si>
  <si>
    <t>170.000,0000</t>
  </si>
  <si>
    <t>22/07/2027</t>
  </si>
  <si>
    <t>12.998,0000</t>
  </si>
  <si>
    <t>28/07/2027</t>
  </si>
  <si>
    <t>Limite Valor</t>
  </si>
  <si>
    <t>Valor Movimento</t>
  </si>
  <si>
    <t>Valor Pedido</t>
  </si>
  <si>
    <t>Valor Movto - Valor Pedido</t>
  </si>
  <si>
    <t>Valor Saldo + Valor Pedido</t>
  </si>
  <si>
    <t>Status</t>
  </si>
  <si>
    <t>Ativo</t>
  </si>
  <si>
    <t>30/10/2026</t>
  </si>
  <si>
    <t>1.149.481,9100</t>
  </si>
  <si>
    <t>564.539,9200</t>
  </si>
  <si>
    <t>584.941,9900</t>
  </si>
  <si>
    <t>17/07/2020</t>
  </si>
  <si>
    <t>13/08/2026</t>
  </si>
  <si>
    <t>23.175,8100</t>
  </si>
  <si>
    <t>10.656,9900</t>
  </si>
  <si>
    <t>28/08/2026</t>
  </si>
  <si>
    <t>26.131,8400</t>
  </si>
  <si>
    <t>151.896,6400</t>
  </si>
  <si>
    <t>2.998.910,1394</t>
  </si>
  <si>
    <t>38.379,3106</t>
  </si>
  <si>
    <t>428.177,9200</t>
  </si>
  <si>
    <t>6.936,3000</t>
  </si>
  <si>
    <t>593.162,1100</t>
  </si>
  <si>
    <t>10.276,5600</t>
  </si>
  <si>
    <t>1.002.211,1600</t>
  </si>
  <si>
    <t>266.665,8800</t>
  </si>
  <si>
    <t>1.810.748,5500</t>
  </si>
  <si>
    <t>137.165,8100</t>
  </si>
  <si>
    <t>5.341.509,8000</t>
  </si>
  <si>
    <t>4.276.213,6600</t>
  </si>
  <si>
    <t>15.632.714,2100</t>
  </si>
  <si>
    <t>7.645.451,2900</t>
  </si>
  <si>
    <t>469.436,6800</t>
  </si>
  <si>
    <t>53.085,3700</t>
  </si>
  <si>
    <t>36.808,0000</t>
  </si>
  <si>
    <t>7.860,0000</t>
  </si>
  <si>
    <t>40.794,3600</t>
  </si>
  <si>
    <t>5.545,8100</t>
  </si>
  <si>
    <t>13.648,6500</t>
  </si>
  <si>
    <t>2.269,4700</t>
  </si>
  <si>
    <t>100.827,5700</t>
  </si>
  <si>
    <t>25.286,0700</t>
  </si>
  <si>
    <t>113.504,7300</t>
  </si>
  <si>
    <t>12.665,1600</t>
  </si>
  <si>
    <t>1.252.258,4100</t>
  </si>
  <si>
    <t>642.382,7900</t>
  </si>
  <si>
    <t>38.521,5000</t>
  </si>
  <si>
    <t>20.632,5000</t>
  </si>
  <si>
    <t>49.860,0000</t>
  </si>
  <si>
    <t>1.090.028,0000</t>
  </si>
  <si>
    <t>652.375,4800</t>
  </si>
  <si>
    <t>157.804,5200</t>
  </si>
  <si>
    <t>552.304,9500</t>
  </si>
  <si>
    <t>116.532,5700</t>
  </si>
  <si>
    <t>3.780.120,1500</t>
  </si>
  <si>
    <t>667.825,9000</t>
  </si>
  <si>
    <t>6.813.412,3800</t>
  </si>
  <si>
    <t>1.586.587,6200</t>
  </si>
  <si>
    <t>319.266,3300</t>
  </si>
  <si>
    <t>137.331,2700</t>
  </si>
  <si>
    <t>1.483.250,0100</t>
  </si>
  <si>
    <t>6.394.494,0200</t>
  </si>
  <si>
    <t>2.005.780,1400</t>
  </si>
  <si>
    <t>72.164,1200</t>
  </si>
  <si>
    <t>2.117.696,7200</t>
  </si>
  <si>
    <t>19.664,3600</t>
  </si>
  <si>
    <t>8.079.425,0818</t>
  </si>
  <si>
    <t>1.356.794,8882</t>
  </si>
  <si>
    <t>50.653.737,9200</t>
  </si>
  <si>
    <t>32.760.013,8200</t>
  </si>
  <si>
    <t>185.093,4400</t>
  </si>
  <si>
    <t>199.734,0800</t>
  </si>
  <si>
    <t>140.539,5400</t>
  </si>
  <si>
    <t>108.324,2500</t>
  </si>
  <si>
    <t>11.803,4600</t>
  </si>
  <si>
    <t>1.430.852,9300</t>
  </si>
  <si>
    <t>28.324,3300</t>
  </si>
  <si>
    <t>230.325,0000</t>
  </si>
  <si>
    <t>3.495,0000</t>
  </si>
  <si>
    <t>73.396,5400</t>
  </si>
  <si>
    <t>4.466,7700</t>
  </si>
  <si>
    <t>4.514.685,5100</t>
  </si>
  <si>
    <t>501.631,7200</t>
  </si>
  <si>
    <t>938.827,6000</t>
  </si>
  <si>
    <t>853.468,4000</t>
  </si>
  <si>
    <t>213.316,3800</t>
  </si>
  <si>
    <t>106.642,6400</t>
  </si>
  <si>
    <t>31/08/2027</t>
  </si>
  <si>
    <t>88.854,5200</t>
  </si>
  <si>
    <t>76.745,4800</t>
  </si>
  <si>
    <t>1.603.017,1800</t>
  </si>
  <si>
    <t>26/04/2024</t>
  </si>
  <si>
    <t>56.058,2800</t>
  </si>
  <si>
    <t>39.590,2400</t>
  </si>
  <si>
    <t>776.342,5600</t>
  </si>
  <si>
    <t>228.625,2800</t>
  </si>
  <si>
    <t>492.541,7100</t>
  </si>
  <si>
    <t>53.002,3200</t>
  </si>
  <si>
    <t>348.850,1200</t>
  </si>
  <si>
    <t>215.288,3800</t>
  </si>
  <si>
    <t>203.032,0000</t>
  </si>
  <si>
    <t>13.000,0000</t>
  </si>
  <si>
    <t>4.264.574,1900</t>
  </si>
  <si>
    <t>31.735.426,5600</t>
  </si>
  <si>
    <t>136.392,1800</t>
  </si>
  <si>
    <t>226.443,8200</t>
  </si>
  <si>
    <t>1.477.799,0000</t>
  </si>
  <si>
    <t>887.110,8200</t>
  </si>
  <si>
    <t>1.465.187,5800</t>
  </si>
  <si>
    <t>951.396,5400</t>
  </si>
  <si>
    <t>23.071,2800</t>
  </si>
  <si>
    <t>8.064,4900</t>
  </si>
  <si>
    <t>664.350,0000</t>
  </si>
  <si>
    <t>174.638,7400</t>
  </si>
  <si>
    <t>489.711,2600</t>
  </si>
  <si>
    <t>57.334,0000</t>
  </si>
  <si>
    <t>37.864,4300</t>
  </si>
  <si>
    <t>638.884,9700</t>
  </si>
  <si>
    <t>758.451,4800</t>
  </si>
  <si>
    <t>460.255,9200</t>
  </si>
  <si>
    <t>133.589,5800</t>
  </si>
  <si>
    <t>29.347,9400</t>
  </si>
  <si>
    <t>18.567,5400</t>
  </si>
  <si>
    <t>10.780,4000</t>
  </si>
  <si>
    <t>16/10/2027</t>
  </si>
  <si>
    <t>40.456,9200</t>
  </si>
  <si>
    <t>1.129.407,0800</t>
  </si>
  <si>
    <t>93.898,6700</t>
  </si>
  <si>
    <t>62.841,0100</t>
  </si>
  <si>
    <t>18.901,9600</t>
  </si>
  <si>
    <t>4.974,2000</t>
  </si>
  <si>
    <t>478.464,4700</t>
  </si>
  <si>
    <t>102.623,5100</t>
  </si>
  <si>
    <t>36.640,0000</t>
  </si>
  <si>
    <t>7.328,0000</t>
  </si>
  <si>
    <t>143.505,5400</t>
  </si>
  <si>
    <t>209.801,0600</t>
  </si>
  <si>
    <t>232.202,9400</t>
  </si>
  <si>
    <t>168.306,6600</t>
  </si>
  <si>
    <t>7.726,7300</t>
  </si>
  <si>
    <t>26.273,2700</t>
  </si>
  <si>
    <t>399.592,1900</t>
  </si>
  <si>
    <t>823.813,9400</t>
  </si>
  <si>
    <t>55.564,6000</t>
  </si>
  <si>
    <t>140.179,4000</t>
  </si>
  <si>
    <t>5.122.781,7800</t>
  </si>
  <si>
    <t>2.817.909,8000</t>
  </si>
  <si>
    <t>247.992,3800</t>
  </si>
  <si>
    <t>314.998,1300</t>
  </si>
  <si>
    <t>18.675,1100</t>
  </si>
  <si>
    <t>5.072,0500</t>
  </si>
  <si>
    <t>1.326.618,4500</t>
  </si>
  <si>
    <t>5.482.157,9100</t>
  </si>
  <si>
    <t>576.193,0900</t>
  </si>
  <si>
    <t>1.520.421,0300</t>
  </si>
  <si>
    <t>3.160.477,1700</t>
  </si>
  <si>
    <t>644.000,0000</t>
  </si>
  <si>
    <t>322.000,0000</t>
  </si>
  <si>
    <t>90.457,8300</t>
  </si>
  <si>
    <t>110.455,1600</t>
  </si>
  <si>
    <t>160.816,3700</t>
  </si>
  <si>
    <t>407.073,5500</t>
  </si>
  <si>
    <t>110.677,2000</t>
  </si>
  <si>
    <t>48.990,0000</t>
  </si>
  <si>
    <t>61.687,2000</t>
  </si>
  <si>
    <t>14.227.318,2000</t>
  </si>
  <si>
    <t>5.018.446,5600</t>
  </si>
  <si>
    <t>9.208.871,6400</t>
  </si>
  <si>
    <t>21.000,0000</t>
  </si>
  <si>
    <t>7.800,0000</t>
  </si>
  <si>
    <t>1.560,0000</t>
  </si>
  <si>
    <t>7.526,1200</t>
  </si>
  <si>
    <t>3.701.473,8800</t>
  </si>
  <si>
    <t>1.687.240,1100</t>
  </si>
  <si>
    <t>1.186.719,6300</t>
  </si>
  <si>
    <t>83.698,6400</t>
  </si>
  <si>
    <t>46.100,0000</t>
  </si>
  <si>
    <t>84.563,9600</t>
  </si>
  <si>
    <t>252.476,0400</t>
  </si>
  <si>
    <t>337.658,1900</t>
  </si>
  <si>
    <t>120.750,0000</t>
  </si>
  <si>
    <t>216.908,1900</t>
  </si>
  <si>
    <t>85.907,6200</t>
  </si>
  <si>
    <t>130.647,1800</t>
  </si>
  <si>
    <t>789.496,2900</t>
  </si>
  <si>
    <t>1.771.086,2700</t>
  </si>
  <si>
    <t>46.644,4600</t>
  </si>
  <si>
    <t>743.188,8900</t>
  </si>
  <si>
    <t>4.800,0000</t>
  </si>
  <si>
    <t>3.582,0000</t>
  </si>
  <si>
    <t>3.348,0000</t>
  </si>
  <si>
    <t>1.391.181,5300</t>
  </si>
  <si>
    <t>12.999,1300</t>
  </si>
  <si>
    <t>1.178,3400</t>
  </si>
  <si>
    <t>173.590,8000</t>
  </si>
  <si>
    <t>1.506.409,2000</t>
  </si>
  <si>
    <t>155.652,4800</t>
  </si>
  <si>
    <t>354.347,5200</t>
  </si>
  <si>
    <t>8.800,0000</t>
  </si>
  <si>
    <t>349.900,0000</t>
  </si>
  <si>
    <t>3.238,5000</t>
  </si>
  <si>
    <t>14.897,1000</t>
  </si>
  <si>
    <t>37.500,0000</t>
  </si>
  <si>
    <t>112.500,0000</t>
  </si>
  <si>
    <t>6.250,0000</t>
  </si>
  <si>
    <t>118.750,0000</t>
  </si>
  <si>
    <t>1.680,0000</t>
  </si>
  <si>
    <t>50.400,0000</t>
  </si>
  <si>
    <t>54.100,0000</t>
  </si>
  <si>
    <t>216.400,0000</t>
  </si>
  <si>
    <t>348.140,8000</t>
  </si>
  <si>
    <t>25/08/2031</t>
  </si>
  <si>
    <t>2.166.000,0000</t>
  </si>
  <si>
    <t>30/04/2027</t>
  </si>
  <si>
    <t>6.064,0000</t>
  </si>
  <si>
    <t>5.306,0000</t>
  </si>
  <si>
    <t>2.021,5200</t>
  </si>
  <si>
    <t>1.516,1400</t>
  </si>
  <si>
    <t>6.672,0000</t>
  </si>
  <si>
    <t>1.668,0000</t>
  </si>
  <si>
    <t>5.004,0000</t>
  </si>
  <si>
    <t>2.007.969,6500</t>
  </si>
  <si>
    <t>1.913.136,8400</t>
  </si>
  <si>
    <t>2.112,0000</t>
  </si>
  <si>
    <t>1.408,0000</t>
  </si>
  <si>
    <t>6.769.998,2000</t>
  </si>
  <si>
    <t>20/08/2031</t>
  </si>
  <si>
    <t>149.135,9000</t>
  </si>
  <si>
    <t>19/08/2027</t>
  </si>
  <si>
    <t>702.090,3200</t>
  </si>
  <si>
    <t>6.640,0000</t>
  </si>
  <si>
    <t>21/08/2028</t>
  </si>
  <si>
    <t>2.339.238,7200</t>
  </si>
  <si>
    <t>24/08/2026</t>
  </si>
  <si>
    <t>24/08/2031</t>
  </si>
  <si>
    <t>111.472,0000</t>
  </si>
  <si>
    <t>24/08/2028</t>
  </si>
  <si>
    <t>1.900.000,0000</t>
  </si>
  <si>
    <t>28/04/2027</t>
  </si>
  <si>
    <t xml:space="preserve">Fornecedor </t>
  </si>
  <si>
    <t>Saldo inicial</t>
  </si>
  <si>
    <t>Valor executado</t>
  </si>
  <si>
    <t>Saldo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</si>
</sst>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#######0"/>
    <numFmt numFmtId="166" formatCode="####.###.###.##00000"/>
    <numFmt numFmtId="167" formatCode="####.###.###0000"/>
    <numFmt numFmtId="168" formatCode="_-* #,##0.000000_-;\-* #,##0.000000_-;_-* &quot;-&quot;??_-;_-@_-"/>
    <numFmt numFmtId="169" formatCode="_-* #,##0.0000000_-;\-* #,##0.0000000_-;_-* &quot;-&quot;??_-;_-@_-"/>
    <numFmt numFmtId="182" formatCode="_-[$R$-416]\ * #,##0_-;\-[$R$-416]\ * #,##0_-;_-[$R$-416]\ 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4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20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43" fontId="20" fillId="33" borderId="10" xfId="42" applyFont="1" applyFill="1" applyBorder="1" applyAlignment="1">
      <alignment horizontal="center" vertical="center" wrapText="1"/>
    </xf>
    <xf numFmtId="43" fontId="19" fillId="0" borderId="0" xfId="42" applyFont="1" applyAlignment="1">
      <alignment horizontal="center" vertical="center"/>
    </xf>
    <xf numFmtId="168" fontId="20" fillId="33" borderId="10" xfId="42" applyNumberFormat="1" applyFont="1" applyFill="1" applyBorder="1" applyAlignment="1">
      <alignment horizontal="center" vertical="center" wrapText="1"/>
    </xf>
    <xf numFmtId="169" fontId="20" fillId="33" borderId="10" xfId="42" applyNumberFormat="1" applyFont="1" applyFill="1" applyBorder="1" applyAlignment="1">
      <alignment horizontal="center" vertical="center" wrapText="1"/>
    </xf>
    <xf numFmtId="169" fontId="19" fillId="0" borderId="0" xfId="42" applyNumberFormat="1" applyFont="1" applyAlignment="1">
      <alignment vertical="center"/>
    </xf>
    <xf numFmtId="168" fontId="19" fillId="0" borderId="0" xfId="42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34" borderId="13" xfId="0" applyNumberFormat="1" applyFont="1" applyFill="1" applyBorder="1" applyAlignment="1" applyProtection="1">
      <alignment horizontal="right"/>
    </xf>
    <xf numFmtId="0" fontId="22" fillId="34" borderId="13" xfId="0" applyNumberFormat="1" applyFont="1" applyFill="1" applyBorder="1" applyAlignment="1" applyProtection="1"/>
    <xf numFmtId="0" fontId="21" fillId="0" borderId="15" xfId="0" applyNumberFormat="1" applyFont="1" applyFill="1" applyBorder="1" applyAlignment="1" applyProtection="1"/>
    <xf numFmtId="166" fontId="21" fillId="0" borderId="15" xfId="0" applyNumberFormat="1" applyFont="1" applyFill="1" applyBorder="1" applyAlignment="1" applyProtection="1">
      <alignment horizontal="right"/>
    </xf>
    <xf numFmtId="167" fontId="21" fillId="0" borderId="15" xfId="0" applyNumberFormat="1" applyFont="1" applyFill="1" applyBorder="1" applyAlignment="1" applyProtection="1">
      <alignment horizontal="right"/>
    </xf>
    <xf numFmtId="14" fontId="21" fillId="0" borderId="15" xfId="0" applyNumberFormat="1" applyFont="1" applyFill="1" applyBorder="1" applyAlignment="1" applyProtection="1">
      <alignment horizontal="right"/>
    </xf>
    <xf numFmtId="0" fontId="21" fillId="0" borderId="17" xfId="0" applyNumberFormat="1" applyFont="1" applyFill="1" applyBorder="1" applyAlignment="1" applyProtection="1"/>
    <xf numFmtId="166" fontId="21" fillId="0" borderId="17" xfId="0" applyNumberFormat="1" applyFont="1" applyFill="1" applyBorder="1" applyAlignment="1" applyProtection="1">
      <alignment horizontal="right"/>
    </xf>
    <xf numFmtId="167" fontId="21" fillId="0" borderId="17" xfId="0" applyNumberFormat="1" applyFont="1" applyFill="1" applyBorder="1" applyAlignment="1" applyProtection="1">
      <alignment horizontal="right"/>
    </xf>
    <xf numFmtId="14" fontId="21" fillId="0" borderId="17" xfId="0" applyNumberFormat="1" applyFont="1" applyFill="1" applyBorder="1" applyAlignment="1" applyProtection="1">
      <alignment horizontal="right"/>
    </xf>
    <xf numFmtId="0" fontId="21" fillId="0" borderId="19" xfId="0" applyNumberFormat="1" applyFont="1" applyFill="1" applyBorder="1" applyAlignment="1" applyProtection="1"/>
    <xf numFmtId="166" fontId="21" fillId="0" borderId="19" xfId="0" applyNumberFormat="1" applyFont="1" applyFill="1" applyBorder="1" applyAlignment="1" applyProtection="1">
      <alignment horizontal="right"/>
    </xf>
    <xf numFmtId="167" fontId="21" fillId="0" borderId="19" xfId="0" applyNumberFormat="1" applyFont="1" applyFill="1" applyBorder="1" applyAlignment="1" applyProtection="1">
      <alignment horizontal="right"/>
    </xf>
    <xf numFmtId="14" fontId="21" fillId="0" borderId="19" xfId="0" applyNumberFormat="1" applyFont="1" applyFill="1" applyBorder="1" applyAlignment="1" applyProtection="1">
      <alignment horizontal="right"/>
    </xf>
    <xf numFmtId="0" fontId="22" fillId="34" borderId="13" xfId="0" applyNumberFormat="1" applyFont="1" applyFill="1" applyBorder="1" applyAlignment="1" applyProtection="1">
      <alignment horizontal="center"/>
    </xf>
    <xf numFmtId="14" fontId="21" fillId="0" borderId="15" xfId="0" applyNumberFormat="1" applyFont="1" applyFill="1" applyBorder="1" applyAlignment="1" applyProtection="1">
      <alignment horizontal="center"/>
    </xf>
    <xf numFmtId="14" fontId="21" fillId="0" borderId="17" xfId="0" applyNumberFormat="1" applyFont="1" applyFill="1" applyBorder="1" applyAlignment="1" applyProtection="1">
      <alignment horizontal="center"/>
    </xf>
    <xf numFmtId="0" fontId="21" fillId="0" borderId="17" xfId="0" applyNumberFormat="1" applyFont="1" applyFill="1" applyBorder="1" applyAlignment="1" applyProtection="1">
      <alignment horizontal="center"/>
    </xf>
    <xf numFmtId="14" fontId="21" fillId="0" borderId="19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22" fillId="34" borderId="12" xfId="0" applyNumberFormat="1" applyFont="1" applyFill="1" applyBorder="1" applyAlignment="1" applyProtection="1">
      <alignment horizontal="center"/>
    </xf>
    <xf numFmtId="165" fontId="21" fillId="0" borderId="14" xfId="0" applyNumberFormat="1" applyFont="1" applyFill="1" applyBorder="1" applyAlignment="1" applyProtection="1">
      <alignment horizontal="center"/>
    </xf>
    <xf numFmtId="165" fontId="21" fillId="0" borderId="16" xfId="0" applyNumberFormat="1" applyFont="1" applyFill="1" applyBorder="1" applyAlignment="1" applyProtection="1">
      <alignment horizontal="center"/>
    </xf>
    <xf numFmtId="165" fontId="21" fillId="0" borderId="18" xfId="0" applyNumberFormat="1" applyFont="1" applyFill="1" applyBorder="1" applyAlignment="1" applyProtection="1">
      <alignment horizontal="center"/>
    </xf>
    <xf numFmtId="44" fontId="22" fillId="34" borderId="13" xfId="43" applyFont="1" applyFill="1" applyBorder="1" applyAlignment="1" applyProtection="1">
      <alignment horizontal="center"/>
    </xf>
    <xf numFmtId="44" fontId="21" fillId="0" borderId="15" xfId="43" applyFont="1" applyFill="1" applyBorder="1" applyAlignment="1" applyProtection="1">
      <alignment horizontal="center"/>
    </xf>
    <xf numFmtId="44" fontId="21" fillId="0" borderId="17" xfId="43" applyFont="1" applyFill="1" applyBorder="1" applyAlignment="1" applyProtection="1">
      <alignment horizontal="center"/>
    </xf>
    <xf numFmtId="44" fontId="21" fillId="0" borderId="19" xfId="43" applyFont="1" applyFill="1" applyBorder="1" applyAlignment="1" applyProtection="1">
      <alignment horizontal="center"/>
    </xf>
    <xf numFmtId="44" fontId="0" fillId="0" borderId="0" xfId="43" applyFont="1" applyAlignment="1">
      <alignment horizontal="center"/>
    </xf>
    <xf numFmtId="182" fontId="21" fillId="0" borderId="15" xfId="0" applyNumberFormat="1" applyFont="1" applyFill="1" applyBorder="1" applyAlignment="1" applyProtection="1">
      <alignment horizontal="right"/>
    </xf>
    <xf numFmtId="44" fontId="21" fillId="0" borderId="17" xfId="43" applyFont="1" applyFill="1" applyBorder="1" applyAlignment="1" applyProtection="1">
      <alignment horizontal="right"/>
    </xf>
    <xf numFmtId="0" fontId="21" fillId="0" borderId="17" xfId="0" applyNumberFormat="1" applyFont="1" applyFill="1" applyBorder="1" applyAlignment="1" applyProtection="1">
      <alignment wrapText="1"/>
    </xf>
    <xf numFmtId="0" fontId="21" fillId="0" borderId="19" xfId="0" applyNumberFormat="1" applyFont="1" applyFill="1" applyBorder="1" applyAlignment="1" applyProtection="1">
      <alignment wrapText="1"/>
    </xf>
  </cellXfs>
  <cellStyles count="44">
    <cellStyle name="20% - Ênfase1" xfId="17" builtinId="30" customBuiltin="1"/>
    <cellStyle name="20% - Ênfase2" xfId="20" builtinId="34" customBuiltin="1"/>
    <cellStyle name="20% - Ênfase3" xfId="23" builtinId="38" customBuiltin="1"/>
    <cellStyle name="20% - Ênfase4" xfId="26" builtinId="42" customBuiltin="1"/>
    <cellStyle name="20% - Ênfase5" xfId="29" builtinId="46" customBuiltin="1"/>
    <cellStyle name="20% - Ênfase6" xfId="32" builtinId="50" customBuiltin="1"/>
    <cellStyle name="40% - Ênfase1" xfId="18" builtinId="31" customBuiltin="1"/>
    <cellStyle name="40% - Ênfase2" xfId="21" builtinId="35" customBuiltin="1"/>
    <cellStyle name="40% - Ênfase3" xfId="24" builtinId="39" customBuiltin="1"/>
    <cellStyle name="40% - Ênfase4" xfId="27" builtinId="43" customBuiltin="1"/>
    <cellStyle name="40% - Ênfase5" xfId="30" builtinId="47" customBuiltin="1"/>
    <cellStyle name="40% - Ênfase6" xfId="33" builtinId="51" customBuiltin="1"/>
    <cellStyle name="60% - Ênfase1 2" xfId="36" xr:uid="{41C93333-DC95-4364-84D3-1FE1440E72E6}"/>
    <cellStyle name="60% - Ênfase2 2" xfId="37" xr:uid="{D77E6C45-B60C-413A-9253-EAFEB1C8A84A}"/>
    <cellStyle name="60% - Ênfase3 2" xfId="38" xr:uid="{ED1C04E4-3AB1-4D50-81EA-F880B3DBDADB}"/>
    <cellStyle name="60% - Ênfase4 2" xfId="39" xr:uid="{B4E7979D-A4FB-4427-A176-98E5CABF7FC0}"/>
    <cellStyle name="60% - Ênfase5 2" xfId="40" xr:uid="{5FC810A3-19F4-4C42-96E6-5F412C310C58}"/>
    <cellStyle name="60% - Ênfase6 2" xfId="41" xr:uid="{E3DBA739-99C5-4F0A-AB5A-55AD41781673}"/>
    <cellStyle name="Bom" xfId="5" builtinId="26" customBuiltin="1"/>
    <cellStyle name="Cálculo" xfId="9" builtinId="22" customBuiltin="1"/>
    <cellStyle name="Célula de Verificação" xfId="11" builtinId="23" customBuiltin="1"/>
    <cellStyle name="Célula Vinculada" xfId="10" builtinId="24" customBuiltin="1"/>
    <cellStyle name="Ênfase1" xfId="16" builtinId="29" customBuiltin="1"/>
    <cellStyle name="Ênfase2" xfId="19" builtinId="33" customBuiltin="1"/>
    <cellStyle name="Ênfase3" xfId="22" builtinId="37" customBuiltin="1"/>
    <cellStyle name="Ênfase4" xfId="25" builtinId="41" customBuiltin="1"/>
    <cellStyle name="Ênfase5" xfId="28" builtinId="45" customBuiltin="1"/>
    <cellStyle name="Ênfase6" xfId="31" builtinId="49" customBuiltin="1"/>
    <cellStyle name="Entrada" xfId="7" builtinId="20" customBuiltin="1"/>
    <cellStyle name="Moeda" xfId="43" builtinId="4"/>
    <cellStyle name="Neutro 2" xfId="35" xr:uid="{F324C34F-DA4E-4BE1-8791-79B6A8ED5896}"/>
    <cellStyle name="Normal" xfId="0" builtinId="0"/>
    <cellStyle name="Nota" xfId="13" builtinId="10" customBuiltin="1"/>
    <cellStyle name="Ruim" xfId="6" builtinId="27" customBuiltin="1"/>
    <cellStyle name="Saída" xfId="8" builtinId="21" customBuiltin="1"/>
    <cellStyle name="Texto de Aviso" xfId="12" builtinId="11" customBuiltin="1"/>
    <cellStyle name="Texto Explicativo" xfId="14" builtinId="53" customBuiltin="1"/>
    <cellStyle name="Título 1" xfId="1" builtinId="16" customBuiltin="1"/>
    <cellStyle name="Título 2" xfId="2" builtinId="17" customBuiltin="1"/>
    <cellStyle name="Título 3" xfId="3" builtinId="18" customBuiltin="1"/>
    <cellStyle name="Título 4" xfId="4" builtinId="19" customBuiltin="1"/>
    <cellStyle name="Título 5" xfId="34" xr:uid="{56137074-11D6-4CAD-9AD3-643F441AD5BE}"/>
    <cellStyle name="Total" xfId="15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4D02-506F-4CD5-A8EE-2CB5CF4958E5}">
  <sheetPr>
    <pageSetUpPr fitToPage="1"/>
  </sheetPr>
  <dimension ref="A1:J281"/>
  <sheetViews>
    <sheetView tabSelected="1" zoomScaleNormal="100" workbookViewId="0">
      <pane xSplit="8" ySplit="4" topLeftCell="I5" activePane="bottomRight" state="frozen"/>
      <selection pane="topRight" activeCell="G1" sqref="G1"/>
      <selection pane="bottomLeft" activeCell="A5" sqref="A5"/>
      <selection pane="bottomRight" activeCell="B1" sqref="B1:H3"/>
    </sheetView>
  </sheetViews>
  <sheetFormatPr defaultColWidth="8.7265625" defaultRowHeight="14.5" x14ac:dyDescent="0.35"/>
  <cols>
    <col min="1" max="1" width="0.81640625" style="2" customWidth="1"/>
    <col min="2" max="2" width="15.54296875" style="5" customWidth="1"/>
    <col min="3" max="3" width="63.90625" style="6" customWidth="1"/>
    <col min="4" max="4" width="10.81640625" style="5" customWidth="1"/>
    <col min="5" max="5" width="13.453125" style="5" customWidth="1"/>
    <col min="6" max="6" width="17.54296875" style="12" customWidth="1"/>
    <col min="7" max="7" width="16.26953125" style="8" customWidth="1"/>
    <col min="8" max="8" width="19.81640625" style="11" customWidth="1"/>
    <col min="9" max="9" width="1.81640625" style="3" customWidth="1"/>
    <col min="10" max="16384" width="8.7265625" style="2"/>
  </cols>
  <sheetData>
    <row r="1" spans="1:10" s="1" customFormat="1" x14ac:dyDescent="0.35">
      <c r="A1" s="2"/>
      <c r="B1" s="13" t="s">
        <v>5</v>
      </c>
      <c r="C1" s="14"/>
      <c r="D1" s="14"/>
      <c r="E1" s="14"/>
      <c r="F1" s="14"/>
      <c r="G1" s="14"/>
      <c r="H1" s="14"/>
      <c r="I1" s="3"/>
      <c r="J1" s="2"/>
    </row>
    <row r="2" spans="1:10" ht="8.25" customHeight="1" x14ac:dyDescent="0.35">
      <c r="B2" s="14"/>
      <c r="C2" s="14"/>
      <c r="D2" s="14"/>
      <c r="E2" s="14"/>
      <c r="F2" s="14"/>
      <c r="G2" s="14"/>
      <c r="H2" s="14"/>
    </row>
    <row r="3" spans="1:10" ht="9.75" customHeight="1" x14ac:dyDescent="0.35">
      <c r="B3" s="14"/>
      <c r="C3" s="14"/>
      <c r="D3" s="14"/>
      <c r="E3" s="14"/>
      <c r="F3" s="14"/>
      <c r="G3" s="14"/>
      <c r="H3" s="14"/>
    </row>
    <row r="4" spans="1:10" ht="30.65" customHeight="1" x14ac:dyDescent="0.35">
      <c r="B4" s="4" t="s">
        <v>1</v>
      </c>
      <c r="C4" s="4" t="s">
        <v>4</v>
      </c>
      <c r="D4" s="4" t="s">
        <v>10</v>
      </c>
      <c r="E4" s="4" t="s">
        <v>9</v>
      </c>
      <c r="F4" s="9" t="s">
        <v>2</v>
      </c>
      <c r="G4" s="7" t="s">
        <v>3</v>
      </c>
      <c r="H4" s="10" t="s">
        <v>0</v>
      </c>
    </row>
    <row r="5" spans="1:10" x14ac:dyDescent="0.35">
      <c r="B5" s="37">
        <v>10099</v>
      </c>
      <c r="C5" s="46" t="str">
        <f>"NUTRIBOM EMPREENDIMENTOS IMOBILIARIOS LTDA"</f>
        <v>NUTRIBOM EMPREENDIMENTOS IMOBILIARIOS LTDA</v>
      </c>
      <c r="D5" s="31">
        <v>43223</v>
      </c>
      <c r="E5" s="31">
        <v>46846</v>
      </c>
      <c r="F5" s="41">
        <v>92530000</v>
      </c>
      <c r="G5" s="41">
        <v>0</v>
      </c>
      <c r="H5" s="41">
        <v>92530000</v>
      </c>
    </row>
    <row r="6" spans="1:10" x14ac:dyDescent="0.35">
      <c r="B6" s="37">
        <v>10457</v>
      </c>
      <c r="C6" s="46" t="str">
        <f>"VENTURA PRODUCOES AUDIOVISUAIS LTDA"</f>
        <v>VENTURA PRODUCOES AUDIOVISUAIS LTDA</v>
      </c>
      <c r="D6" s="31" t="s">
        <v>46</v>
      </c>
      <c r="E6" s="31" t="s">
        <v>653</v>
      </c>
      <c r="F6" s="41">
        <v>680000</v>
      </c>
      <c r="G6" s="41">
        <v>680000</v>
      </c>
      <c r="H6" s="41">
        <v>0</v>
      </c>
    </row>
    <row r="7" spans="1:10" x14ac:dyDescent="0.35">
      <c r="B7" s="37">
        <v>10606</v>
      </c>
      <c r="C7" s="46" t="str">
        <f>"RMX CONSERVADORA EIRELI  EPP"</f>
        <v>RMX CONSERVADORA EIRELI  EPP</v>
      </c>
      <c r="D7" s="31">
        <v>43618</v>
      </c>
      <c r="E7" s="31">
        <v>45079</v>
      </c>
      <c r="F7" s="41">
        <v>1150941.47</v>
      </c>
      <c r="G7" s="41">
        <v>1068829.1399999999</v>
      </c>
      <c r="H7" s="41">
        <v>82112.33</v>
      </c>
    </row>
    <row r="8" spans="1:10" x14ac:dyDescent="0.35">
      <c r="B8" s="37">
        <v>10876</v>
      </c>
      <c r="C8" s="46" t="str">
        <f>"JULIA PERENCIN JUNQUEIRA  MEI"</f>
        <v>JULIA PERENCIN JUNQUEIRA  MEI</v>
      </c>
      <c r="D8" s="31" t="s">
        <v>51</v>
      </c>
      <c r="E8" s="31" t="s">
        <v>52</v>
      </c>
      <c r="F8" s="41">
        <v>336665.7</v>
      </c>
      <c r="G8" s="41">
        <v>0</v>
      </c>
      <c r="H8" s="41">
        <v>336665.7</v>
      </c>
    </row>
    <row r="9" spans="1:10" x14ac:dyDescent="0.35">
      <c r="B9" s="37">
        <v>11008</v>
      </c>
      <c r="C9" s="46" t="str">
        <f>"PRODEMGE  CIA DE TECNOL DA INFORMACAO DE MG"</f>
        <v>PRODEMGE  CIA DE TECNOL DA INFORMACAO DE MG</v>
      </c>
      <c r="D9" s="31" t="s">
        <v>657</v>
      </c>
      <c r="E9" s="31" t="s">
        <v>658</v>
      </c>
      <c r="F9" s="41">
        <v>1149481.9099999999</v>
      </c>
      <c r="G9" s="41">
        <v>564539.92000000004</v>
      </c>
      <c r="H9" s="41">
        <v>584941.99</v>
      </c>
    </row>
    <row r="10" spans="1:10" x14ac:dyDescent="0.35">
      <c r="B10" s="37">
        <v>11072</v>
      </c>
      <c r="C10" s="46" t="str">
        <f>"AGUA MINERAL NATURAL FONTE E VIDA LTDA"</f>
        <v>AGUA MINERAL NATURAL FONTE E VIDA LTDA</v>
      </c>
      <c r="D10" s="31" t="s">
        <v>56</v>
      </c>
      <c r="E10" s="31" t="s">
        <v>57</v>
      </c>
      <c r="F10" s="41">
        <v>44102.09</v>
      </c>
      <c r="G10" s="41">
        <v>28383.66</v>
      </c>
      <c r="H10" s="41">
        <v>15718.43</v>
      </c>
    </row>
    <row r="11" spans="1:10" x14ac:dyDescent="0.35">
      <c r="B11" s="37">
        <v>11084</v>
      </c>
      <c r="C11" s="46" t="str">
        <f>"PERFIL ENGENHARIA LTDA"</f>
        <v>PERFIL ENGENHARIA LTDA</v>
      </c>
      <c r="D11" s="31">
        <v>44147</v>
      </c>
      <c r="E11" s="31" t="s">
        <v>59</v>
      </c>
      <c r="F11" s="41">
        <v>70157372.079999998</v>
      </c>
      <c r="G11" s="41">
        <v>0</v>
      </c>
      <c r="H11" s="41">
        <v>70157372.079999998</v>
      </c>
    </row>
    <row r="12" spans="1:10" x14ac:dyDescent="0.35">
      <c r="B12" s="37">
        <v>11136</v>
      </c>
      <c r="C12" s="46" t="str">
        <f>"AGENCIA DE INTEGRACAO EMPRESA ESCOLA LTDA"</f>
        <v>AGENCIA DE INTEGRACAO EMPRESA ESCOLA LTDA</v>
      </c>
      <c r="D12" s="31" t="s">
        <v>61</v>
      </c>
      <c r="E12" s="31" t="s">
        <v>661</v>
      </c>
      <c r="F12" s="41">
        <v>33832.800000000003</v>
      </c>
      <c r="G12" s="41">
        <v>23175.81</v>
      </c>
      <c r="H12" s="41">
        <v>10656.99</v>
      </c>
    </row>
    <row r="13" spans="1:10" x14ac:dyDescent="0.35">
      <c r="B13" s="37">
        <v>11140</v>
      </c>
      <c r="C13" s="46" t="str">
        <f>"GONTIJO CALDAS  FLEURY ADVOGADOS ASSOCIADOS"</f>
        <v>GONTIJO CALDAS  FLEURY ADVOGADOS ASSOCIADOS</v>
      </c>
      <c r="D13" s="31" t="s">
        <v>65</v>
      </c>
      <c r="E13" s="31" t="s">
        <v>66</v>
      </c>
      <c r="F13" s="41">
        <v>40000</v>
      </c>
      <c r="G13" s="41">
        <v>32000</v>
      </c>
      <c r="H13" s="41">
        <v>8000</v>
      </c>
    </row>
    <row r="14" spans="1:10" x14ac:dyDescent="0.35">
      <c r="B14" s="37">
        <v>11154</v>
      </c>
      <c r="C14" s="46" t="str">
        <f>"SECRETARIA DE ESTADO DE GOVERNO"</f>
        <v>SECRETARIA DE ESTADO DE GOVERNO</v>
      </c>
      <c r="D14" s="31" t="s">
        <v>68</v>
      </c>
      <c r="E14" s="31" t="s">
        <v>69</v>
      </c>
      <c r="F14" s="41">
        <v>178028.48</v>
      </c>
      <c r="G14" s="41">
        <v>26131.84</v>
      </c>
      <c r="H14" s="41">
        <v>151896.64000000001</v>
      </c>
    </row>
    <row r="15" spans="1:10" x14ac:dyDescent="0.35">
      <c r="B15" s="37">
        <v>11155</v>
      </c>
      <c r="C15" s="46" t="str">
        <f>"GONTIJO CALDAS  FLEURY ADVOGADOS ASSOCIADOS"</f>
        <v>GONTIJO CALDAS  FLEURY ADVOGADOS ASSOCIADOS</v>
      </c>
      <c r="D15" s="31" t="s">
        <v>70</v>
      </c>
      <c r="E15" s="31" t="s">
        <v>66</v>
      </c>
      <c r="F15" s="41">
        <v>40000</v>
      </c>
      <c r="G15" s="41">
        <v>32000</v>
      </c>
      <c r="H15" s="41">
        <v>8000</v>
      </c>
    </row>
    <row r="16" spans="1:10" x14ac:dyDescent="0.35">
      <c r="B16" s="37">
        <v>11157</v>
      </c>
      <c r="C16" s="46" t="str">
        <f>"TRIUNFO SERVICOS LTDA ME"</f>
        <v>TRIUNFO SERVICOS LTDA ME</v>
      </c>
      <c r="D16" s="31">
        <v>44264</v>
      </c>
      <c r="E16" s="31">
        <v>46090</v>
      </c>
      <c r="F16" s="41">
        <v>3037289.45</v>
      </c>
      <c r="G16" s="41">
        <v>2998910.1394000002</v>
      </c>
      <c r="H16" s="41">
        <v>38379.310599999997</v>
      </c>
    </row>
    <row r="17" spans="2:8" x14ac:dyDescent="0.35">
      <c r="B17" s="37">
        <v>11158</v>
      </c>
      <c r="C17" s="46" t="str">
        <f>"TRIUNFO SERVICOS LTDA ME"</f>
        <v>TRIUNFO SERVICOS LTDA ME</v>
      </c>
      <c r="D17" s="31">
        <v>44264</v>
      </c>
      <c r="E17" s="31">
        <v>46090</v>
      </c>
      <c r="F17" s="41">
        <v>435114.22</v>
      </c>
      <c r="G17" s="41">
        <v>428177.91999999998</v>
      </c>
      <c r="H17" s="41">
        <v>6936.3</v>
      </c>
    </row>
    <row r="18" spans="2:8" x14ac:dyDescent="0.35">
      <c r="B18" s="37">
        <v>11159</v>
      </c>
      <c r="C18" s="46" t="str">
        <f>"TRIUNFO SERVICOS LTDA ME"</f>
        <v>TRIUNFO SERVICOS LTDA ME</v>
      </c>
      <c r="D18" s="31">
        <v>44264</v>
      </c>
      <c r="E18" s="31">
        <v>46090</v>
      </c>
      <c r="F18" s="41">
        <v>603438.67000000004</v>
      </c>
      <c r="G18" s="41">
        <v>593162.11</v>
      </c>
      <c r="H18" s="41">
        <v>10276.56</v>
      </c>
    </row>
    <row r="19" spans="2:8" x14ac:dyDescent="0.35">
      <c r="B19" s="37">
        <v>11160</v>
      </c>
      <c r="C19" s="46" t="str">
        <f>"TOTVS SA"</f>
        <v>TOTVS SA</v>
      </c>
      <c r="D19" s="32" t="s">
        <v>75</v>
      </c>
      <c r="E19" s="32" t="s">
        <v>69</v>
      </c>
      <c r="F19" s="41">
        <v>1268877.04</v>
      </c>
      <c r="G19" s="41">
        <v>1002211.16</v>
      </c>
      <c r="H19" s="41">
        <v>266665.88</v>
      </c>
    </row>
    <row r="20" spans="2:8" x14ac:dyDescent="0.35">
      <c r="B20" s="37">
        <v>11196</v>
      </c>
      <c r="C20" s="46" t="str">
        <f>"TRIUNFO SERVICOS LTDA ME"</f>
        <v>TRIUNFO SERVICOS LTDA ME</v>
      </c>
      <c r="D20" s="31" t="s">
        <v>77</v>
      </c>
      <c r="E20" s="31" t="s">
        <v>78</v>
      </c>
      <c r="F20" s="41">
        <v>1947914.36</v>
      </c>
      <c r="G20" s="41">
        <v>1810748.55</v>
      </c>
      <c r="H20" s="41">
        <v>137165.81</v>
      </c>
    </row>
    <row r="21" spans="2:8" x14ac:dyDescent="0.35">
      <c r="B21" s="37">
        <v>11205</v>
      </c>
      <c r="C21" s="46" t="str">
        <f>"PRODEMGE  CIA DE TECNOL DA INFORMACAO DE MG"</f>
        <v>PRODEMGE  CIA DE TECNOL DA INFORMACAO DE MG</v>
      </c>
      <c r="D21" s="31">
        <v>44652</v>
      </c>
      <c r="E21" s="31">
        <v>46478</v>
      </c>
      <c r="F21" s="41">
        <v>9617723.4600000009</v>
      </c>
      <c r="G21" s="41">
        <v>5341509.8</v>
      </c>
      <c r="H21" s="41">
        <v>4276213.66</v>
      </c>
    </row>
    <row r="22" spans="2:8" x14ac:dyDescent="0.35">
      <c r="B22" s="37">
        <v>11210</v>
      </c>
      <c r="C22" s="46" t="str">
        <f>"MATRIX COMERCIALIZADORA DE ENERGIA ELETR"</f>
        <v>MATRIX COMERCIALIZADORA DE ENERGIA ELETR</v>
      </c>
      <c r="D22" s="31" t="s">
        <v>83</v>
      </c>
      <c r="E22" s="31" t="s">
        <v>84</v>
      </c>
      <c r="F22" s="41">
        <v>10686200</v>
      </c>
      <c r="G22" s="41">
        <v>4430340.0999999996</v>
      </c>
      <c r="H22" s="41">
        <v>6255859.9000000004</v>
      </c>
    </row>
    <row r="23" spans="2:8" x14ac:dyDescent="0.35">
      <c r="B23" s="37">
        <v>11211</v>
      </c>
      <c r="C23" s="46" t="str">
        <f>"CORREIA LIMA ENGENHARIA LTDA"</f>
        <v>CORREIA LIMA ENGENHARIA LTDA</v>
      </c>
      <c r="D23" s="31" t="s">
        <v>86</v>
      </c>
      <c r="E23" s="31" t="s">
        <v>14</v>
      </c>
      <c r="F23" s="41">
        <v>24900</v>
      </c>
      <c r="G23" s="41">
        <v>24900</v>
      </c>
      <c r="H23" s="41">
        <v>0</v>
      </c>
    </row>
    <row r="24" spans="2:8" x14ac:dyDescent="0.35">
      <c r="B24" s="37">
        <v>11215</v>
      </c>
      <c r="C24" s="46" t="str">
        <f>"FLD SA"</f>
        <v>FLD SA</v>
      </c>
      <c r="D24" s="31" t="s">
        <v>88</v>
      </c>
      <c r="E24" s="31" t="s">
        <v>89</v>
      </c>
      <c r="F24" s="41">
        <v>23278165.5</v>
      </c>
      <c r="G24" s="41">
        <v>15632714.210000001</v>
      </c>
      <c r="H24" s="41">
        <v>7645451.29</v>
      </c>
    </row>
    <row r="25" spans="2:8" x14ac:dyDescent="0.35">
      <c r="B25" s="37">
        <v>11217</v>
      </c>
      <c r="C25" s="46" t="str">
        <f>"PRIME CONSULTORIA E ASSESSORIA EMPRESARIAL"</f>
        <v>PRIME CONSULTORIA E ASSESSORIA EMPRESARIAL</v>
      </c>
      <c r="D25" s="31" t="s">
        <v>91</v>
      </c>
      <c r="E25" s="31" t="s">
        <v>92</v>
      </c>
      <c r="F25" s="41">
        <v>522522.05</v>
      </c>
      <c r="G25" s="41">
        <v>469436.68</v>
      </c>
      <c r="H25" s="41">
        <v>53085.37</v>
      </c>
    </row>
    <row r="26" spans="2:8" x14ac:dyDescent="0.35">
      <c r="B26" s="37">
        <v>11218</v>
      </c>
      <c r="C26" s="46" t="str">
        <f>"SANTANA RASTREAMENTO E MONITORAMENTO LTDA"</f>
        <v>SANTANA RASTREAMENTO E MONITORAMENTO LTDA</v>
      </c>
      <c r="D26" s="31" t="s">
        <v>86</v>
      </c>
      <c r="E26" s="31" t="s">
        <v>94</v>
      </c>
      <c r="F26" s="41">
        <v>44668</v>
      </c>
      <c r="G26" s="41">
        <v>36808</v>
      </c>
      <c r="H26" s="41">
        <v>7860</v>
      </c>
    </row>
    <row r="27" spans="2:8" x14ac:dyDescent="0.35">
      <c r="B27" s="37">
        <v>11221</v>
      </c>
      <c r="C27" s="46" t="str">
        <f>"JULIO CESAR DE LIMA NETO"</f>
        <v>JULIO CESAR DE LIMA NETO</v>
      </c>
      <c r="D27" s="31" t="s">
        <v>98</v>
      </c>
      <c r="E27" s="31" t="s">
        <v>99</v>
      </c>
      <c r="F27" s="41">
        <v>13831.1</v>
      </c>
      <c r="G27" s="41">
        <v>12275.32</v>
      </c>
      <c r="H27" s="41">
        <v>1555.78</v>
      </c>
    </row>
    <row r="28" spans="2:8" x14ac:dyDescent="0.35">
      <c r="B28" s="37">
        <v>11225</v>
      </c>
      <c r="C28" s="46" t="str">
        <f>"CENTRO DE DESENVOLVIMENTO DA TECNOLOGIA NUCLEAR"</f>
        <v>CENTRO DE DESENVOLVIMENTO DA TECNOLOGIA NUCLEAR</v>
      </c>
      <c r="D28" s="31">
        <v>44713</v>
      </c>
      <c r="E28" s="31">
        <v>52018</v>
      </c>
      <c r="F28" s="41">
        <v>300000</v>
      </c>
      <c r="G28" s="41">
        <v>300000</v>
      </c>
      <c r="H28" s="41">
        <v>0</v>
      </c>
    </row>
    <row r="29" spans="2:8" x14ac:dyDescent="0.35">
      <c r="B29" s="37">
        <v>11233</v>
      </c>
      <c r="C29" s="46" t="str">
        <f>"LEGAL CONTROLE TECNOLOGIA PARA GESTAO EMPRESARIAL LTDA"</f>
        <v>LEGAL CONTROLE TECNOLOGIA PARA GESTAO EMPRESARIAL LTDA</v>
      </c>
      <c r="D29" s="31" t="s">
        <v>102</v>
      </c>
      <c r="E29" s="31" t="s">
        <v>103</v>
      </c>
      <c r="F29" s="41">
        <v>46340.17</v>
      </c>
      <c r="G29" s="41">
        <v>40794.36</v>
      </c>
      <c r="H29" s="41">
        <v>5545.81</v>
      </c>
    </row>
    <row r="30" spans="2:8" x14ac:dyDescent="0.35">
      <c r="B30" s="37">
        <v>11241</v>
      </c>
      <c r="C30" s="46" t="str">
        <f>"MAXIMO INFORMADOR JURIDICO LTDA"</f>
        <v>MAXIMO INFORMADOR JURIDICO LTDA</v>
      </c>
      <c r="D30" s="31">
        <v>44777</v>
      </c>
      <c r="E30" s="31">
        <v>46603</v>
      </c>
      <c r="F30" s="41">
        <v>15918.12</v>
      </c>
      <c r="G30" s="41">
        <v>13648.65</v>
      </c>
      <c r="H30" s="41">
        <v>2269.4699999999998</v>
      </c>
    </row>
    <row r="31" spans="2:8" x14ac:dyDescent="0.35">
      <c r="B31" s="37">
        <v>11247</v>
      </c>
      <c r="C31" s="46" t="str">
        <f>"MULTI CULT PROMOCOES LTDA"</f>
        <v>MULTI CULT PROMOCOES LTDA</v>
      </c>
      <c r="D31" s="31">
        <v>44685</v>
      </c>
      <c r="E31" s="31">
        <v>46481</v>
      </c>
      <c r="F31" s="41">
        <v>953640</v>
      </c>
      <c r="G31" s="41">
        <v>0</v>
      </c>
      <c r="H31" s="41">
        <v>953640</v>
      </c>
    </row>
    <row r="32" spans="2:8" x14ac:dyDescent="0.35">
      <c r="B32" s="37">
        <v>11260</v>
      </c>
      <c r="C32" s="46" t="str">
        <f>"DF STAMATO E CIA LTDA"</f>
        <v>DF STAMATO E CIA LTDA</v>
      </c>
      <c r="D32" s="31">
        <v>44840</v>
      </c>
      <c r="E32" s="31">
        <v>46666</v>
      </c>
      <c r="F32" s="41">
        <v>126113.64</v>
      </c>
      <c r="G32" s="41">
        <v>100827.57</v>
      </c>
      <c r="H32" s="41">
        <v>25286.07</v>
      </c>
    </row>
    <row r="33" spans="2:8" ht="29" x14ac:dyDescent="0.35">
      <c r="B33" s="37">
        <v>11272</v>
      </c>
      <c r="C33" s="46" t="str">
        <f>"GREENSTONE DESENVOLVIMENTO E PROCESSAMENTO DE DADOS MINERAIS LTDA  ME"</f>
        <v>GREENSTONE DESENVOLVIMENTO E PROCESSAMENTO DE DADOS MINERAIS LTDA  ME</v>
      </c>
      <c r="D33" s="31" t="s">
        <v>111</v>
      </c>
      <c r="E33" s="31" t="s">
        <v>112</v>
      </c>
      <c r="F33" s="41">
        <v>126169.89</v>
      </c>
      <c r="G33" s="41">
        <v>113504.73</v>
      </c>
      <c r="H33" s="41">
        <v>12665.16</v>
      </c>
    </row>
    <row r="34" spans="2:8" x14ac:dyDescent="0.35">
      <c r="B34" s="37">
        <v>11276</v>
      </c>
      <c r="C34" s="46" t="str">
        <f>"PINHEIRO NETO ADVOGADOS"</f>
        <v>PINHEIRO NETO ADVOGADOS</v>
      </c>
      <c r="D34" s="31" t="s">
        <v>116</v>
      </c>
      <c r="E34" s="31" t="s">
        <v>117</v>
      </c>
      <c r="F34" s="41">
        <v>2175000</v>
      </c>
      <c r="G34" s="41">
        <v>167100</v>
      </c>
      <c r="H34" s="41">
        <v>2007900</v>
      </c>
    </row>
    <row r="35" spans="2:8" x14ac:dyDescent="0.35">
      <c r="B35" s="37">
        <v>11280</v>
      </c>
      <c r="C35" s="46" t="str">
        <f>"TRIVALE ADMINISTRACAO LTDA"</f>
        <v>TRIVALE ADMINISTRACAO LTDA</v>
      </c>
      <c r="D35" s="31">
        <v>44781</v>
      </c>
      <c r="E35" s="31">
        <v>46607</v>
      </c>
      <c r="F35" s="41">
        <v>1894641.2</v>
      </c>
      <c r="G35" s="41">
        <v>1252258.4099999999</v>
      </c>
      <c r="H35" s="41">
        <v>642382.79</v>
      </c>
    </row>
    <row r="36" spans="2:8" x14ac:dyDescent="0.35">
      <c r="B36" s="37">
        <v>11282</v>
      </c>
      <c r="C36" s="46" t="str">
        <f>"MOVE MAIS MEIOS DE PAGAMENTO LTDA"</f>
        <v>MOVE MAIS MEIOS DE PAGAMENTO LTDA</v>
      </c>
      <c r="D36" s="31" t="s">
        <v>120</v>
      </c>
      <c r="E36" s="31" t="s">
        <v>121</v>
      </c>
      <c r="F36" s="41">
        <v>59154</v>
      </c>
      <c r="G36" s="41">
        <v>38521.5</v>
      </c>
      <c r="H36" s="41">
        <v>20632.5</v>
      </c>
    </row>
    <row r="37" spans="2:8" x14ac:dyDescent="0.35">
      <c r="B37" s="37">
        <v>11283</v>
      </c>
      <c r="C37" s="46" t="str">
        <f>"ESPACO CULTURAL PALACIO DAS MANGABEIRAS SPE S A"</f>
        <v>ESPACO CULTURAL PALACIO DAS MANGABEIRAS SPE S A</v>
      </c>
      <c r="D37" s="31">
        <v>44782</v>
      </c>
      <c r="E37" s="31">
        <v>46511</v>
      </c>
      <c r="F37" s="41">
        <v>1139888</v>
      </c>
      <c r="G37" s="41">
        <v>49860</v>
      </c>
      <c r="H37" s="41">
        <v>1090028</v>
      </c>
    </row>
    <row r="38" spans="2:8" ht="29" x14ac:dyDescent="0.35">
      <c r="B38" s="37">
        <v>11284</v>
      </c>
      <c r="C38" s="46" t="str">
        <f>"CLIFORD CHANCE SOCIEDADE DE CONSULTORES EM DIREITO ESTRANGEIRO"</f>
        <v>CLIFORD CHANCE SOCIEDADE DE CONSULTORES EM DIREITO ESTRANGEIRO</v>
      </c>
      <c r="D38" s="31">
        <v>44570</v>
      </c>
      <c r="E38" s="31">
        <v>46396</v>
      </c>
      <c r="F38" s="41">
        <v>1611000</v>
      </c>
      <c r="G38" s="41">
        <v>220000</v>
      </c>
      <c r="H38" s="41">
        <v>1391000</v>
      </c>
    </row>
    <row r="39" spans="2:8" x14ac:dyDescent="0.35">
      <c r="B39" s="37">
        <v>11285</v>
      </c>
      <c r="C39" s="46" t="str">
        <f>"NETVIEW INFORMATICA LTDA"</f>
        <v>NETVIEW INFORMATICA LTDA</v>
      </c>
      <c r="D39" s="31">
        <v>44721</v>
      </c>
      <c r="E39" s="31">
        <v>46547</v>
      </c>
      <c r="F39" s="41">
        <v>810180</v>
      </c>
      <c r="G39" s="41">
        <v>652375.48</v>
      </c>
      <c r="H39" s="41">
        <v>157804.51999999999</v>
      </c>
    </row>
    <row r="40" spans="2:8" x14ac:dyDescent="0.35">
      <c r="B40" s="37">
        <v>11286</v>
      </c>
      <c r="C40" s="46" t="str">
        <f>"SOMPO SEGUROS SA"</f>
        <v>SOMPO SEGUROS SA</v>
      </c>
      <c r="D40" s="31">
        <v>44721</v>
      </c>
      <c r="E40" s="31">
        <v>46516</v>
      </c>
      <c r="F40" s="41">
        <v>552304.94999999995</v>
      </c>
      <c r="G40" s="41">
        <v>435772.38</v>
      </c>
      <c r="H40" s="41">
        <v>116532.57</v>
      </c>
    </row>
    <row r="41" spans="2:8" x14ac:dyDescent="0.35">
      <c r="B41" s="37">
        <v>11306</v>
      </c>
      <c r="C41" s="46" t="str">
        <f>"CETEST MINAS ENGENHARIA E SERVICOS S A"</f>
        <v>CETEST MINAS ENGENHARIA E SERVICOS S A</v>
      </c>
      <c r="D41" s="31">
        <v>44722</v>
      </c>
      <c r="E41" s="31">
        <v>46183</v>
      </c>
      <c r="F41" s="41">
        <v>4447946.05</v>
      </c>
      <c r="G41" s="41">
        <v>3780120.15</v>
      </c>
      <c r="H41" s="41">
        <v>667825.9</v>
      </c>
    </row>
    <row r="42" spans="2:8" x14ac:dyDescent="0.35">
      <c r="B42" s="37">
        <v>11309</v>
      </c>
      <c r="C42" s="46" t="str">
        <f>"AC CLEAN COMERCIO DE LIMPEZA EIRELI  ME"</f>
        <v>AC CLEAN COMERCIO DE LIMPEZA EIRELI  ME</v>
      </c>
      <c r="D42" s="31">
        <v>44631</v>
      </c>
      <c r="E42" s="31">
        <v>46092</v>
      </c>
      <c r="F42" s="41">
        <v>247478.06</v>
      </c>
      <c r="G42" s="41">
        <v>184948.6</v>
      </c>
      <c r="H42" s="41">
        <v>62529.46</v>
      </c>
    </row>
    <row r="43" spans="2:8" x14ac:dyDescent="0.35">
      <c r="B43" s="37">
        <v>11314</v>
      </c>
      <c r="C43" s="46" t="str">
        <f>"MARKIT GROUP LIMITED"</f>
        <v>MARKIT GROUP LIMITED</v>
      </c>
      <c r="D43" s="31">
        <v>44653</v>
      </c>
      <c r="E43" s="31">
        <v>46448</v>
      </c>
      <c r="F43" s="41">
        <v>109517.04</v>
      </c>
      <c r="G43" s="41">
        <v>96601.2</v>
      </c>
      <c r="H43" s="41">
        <v>12915.84</v>
      </c>
    </row>
    <row r="44" spans="2:8" x14ac:dyDescent="0.35">
      <c r="B44" s="37">
        <v>11322</v>
      </c>
      <c r="C44" s="46" t="str">
        <f>"SECRETARIA DE ESTADO DE PLANEJAMENTO E GESTAO"</f>
        <v>SECRETARIA DE ESTADO DE PLANEJAMENTO E GESTAO</v>
      </c>
      <c r="D44" s="31" t="s">
        <v>136</v>
      </c>
      <c r="E44" s="31" t="s">
        <v>137</v>
      </c>
      <c r="F44" s="41">
        <v>8400000</v>
      </c>
      <c r="G44" s="41">
        <v>6813412.3799999999</v>
      </c>
      <c r="H44" s="41">
        <v>1586587.62</v>
      </c>
    </row>
    <row r="45" spans="2:8" x14ac:dyDescent="0.35">
      <c r="B45" s="37">
        <v>11324</v>
      </c>
      <c r="C45" s="46" t="str">
        <f>"UPLEXIS TECNOLOGIA LTDA"</f>
        <v>UPLEXIS TECNOLOGIA LTDA</v>
      </c>
      <c r="D45" s="31" t="s">
        <v>139</v>
      </c>
      <c r="E45" s="31" t="s">
        <v>140</v>
      </c>
      <c r="F45" s="41">
        <v>456597.6</v>
      </c>
      <c r="G45" s="41">
        <v>319266.33</v>
      </c>
      <c r="H45" s="41">
        <v>137331.26999999999</v>
      </c>
    </row>
    <row r="46" spans="2:8" x14ac:dyDescent="0.35">
      <c r="B46" s="37">
        <v>11328</v>
      </c>
      <c r="C46" s="46" t="str">
        <f>"CONTI CONSULTORIA EM TECNOLOGIA DA INFOR"</f>
        <v>CONTI CONSULTORIA EM TECNOLOGIA DA INFOR</v>
      </c>
      <c r="D46" s="31">
        <v>45261</v>
      </c>
      <c r="E46" s="31">
        <v>47088</v>
      </c>
      <c r="F46" s="41">
        <v>7877744.0300000003</v>
      </c>
      <c r="G46" s="41">
        <v>1483250.01</v>
      </c>
      <c r="H46" s="41">
        <v>6394494.0199999996</v>
      </c>
    </row>
    <row r="47" spans="2:8" x14ac:dyDescent="0.35">
      <c r="B47" s="37">
        <v>11330</v>
      </c>
      <c r="C47" s="46" t="str">
        <f>"COMPANHIA DE GAS DE MINAS GERAIS GASMIG"</f>
        <v>COMPANHIA DE GAS DE MINAS GERAIS GASMIG</v>
      </c>
      <c r="D47" s="31" t="s">
        <v>145</v>
      </c>
      <c r="E47" s="31">
        <v>46722</v>
      </c>
      <c r="F47" s="41">
        <v>908210.74</v>
      </c>
      <c r="G47" s="41">
        <v>693050.98</v>
      </c>
      <c r="H47" s="41">
        <v>215159.76</v>
      </c>
    </row>
    <row r="48" spans="2:8" x14ac:dyDescent="0.35">
      <c r="B48" s="37">
        <v>11332</v>
      </c>
      <c r="C48" s="46" t="str">
        <f>"GENTE SEGURADORA SA"</f>
        <v>GENTE SEGURADORA SA</v>
      </c>
      <c r="D48" s="31" t="s">
        <v>139</v>
      </c>
      <c r="E48" s="31" t="s">
        <v>146</v>
      </c>
      <c r="F48" s="41">
        <v>40000</v>
      </c>
      <c r="G48" s="41">
        <v>40000</v>
      </c>
      <c r="H48" s="41">
        <v>0</v>
      </c>
    </row>
    <row r="49" spans="2:8" x14ac:dyDescent="0.35">
      <c r="B49" s="37">
        <v>11343</v>
      </c>
      <c r="C49" s="46" t="str">
        <f>"ELEVEM LTDA  ME"</f>
        <v>ELEVEM LTDA  ME</v>
      </c>
      <c r="D49" s="31" t="s">
        <v>150</v>
      </c>
      <c r="E49" s="31" t="s">
        <v>151</v>
      </c>
      <c r="F49" s="41">
        <v>38654.9</v>
      </c>
      <c r="G49" s="41">
        <v>29162.25</v>
      </c>
      <c r="H49" s="41">
        <v>9492.65</v>
      </c>
    </row>
    <row r="50" spans="2:8" x14ac:dyDescent="0.35">
      <c r="B50" s="37">
        <v>11345</v>
      </c>
      <c r="C50" s="46" t="str">
        <f>"CONSORCIO OPERACIONAL DO SISTEMA BILHETAGEM"</f>
        <v>CONSORCIO OPERACIONAL DO SISTEMA BILHETAGEM</v>
      </c>
      <c r="D50" s="31" t="s">
        <v>155</v>
      </c>
      <c r="E50" s="31" t="s">
        <v>156</v>
      </c>
      <c r="F50" s="41">
        <v>3375</v>
      </c>
      <c r="G50" s="41">
        <v>1600.05</v>
      </c>
      <c r="H50" s="41">
        <v>1774.95</v>
      </c>
    </row>
    <row r="51" spans="2:8" x14ac:dyDescent="0.35">
      <c r="B51" s="37">
        <v>11354</v>
      </c>
      <c r="C51" s="46" t="str">
        <f>"LUIZ  ALBERTO  SALOMAO"</f>
        <v>LUIZ  ALBERTO  SALOMAO</v>
      </c>
      <c r="D51" s="31" t="s">
        <v>160</v>
      </c>
      <c r="E51" s="31" t="s">
        <v>161</v>
      </c>
      <c r="F51" s="41">
        <v>669000</v>
      </c>
      <c r="G51" s="41">
        <v>227416.05</v>
      </c>
      <c r="H51" s="41">
        <v>441583.95</v>
      </c>
    </row>
    <row r="52" spans="2:8" x14ac:dyDescent="0.35">
      <c r="B52" s="37">
        <v>11356</v>
      </c>
      <c r="C52" s="46" t="str">
        <f>"CS BRASIL FROTAS SA"</f>
        <v>CS BRASIL FROTAS SA</v>
      </c>
      <c r="D52" s="31" t="s">
        <v>163</v>
      </c>
      <c r="E52" s="31" t="s">
        <v>164</v>
      </c>
      <c r="F52" s="41">
        <v>2077944.26</v>
      </c>
      <c r="G52" s="41">
        <v>2005780.14</v>
      </c>
      <c r="H52" s="41">
        <v>72164.12</v>
      </c>
    </row>
    <row r="53" spans="2:8" x14ac:dyDescent="0.35">
      <c r="B53" s="37">
        <v>11358</v>
      </c>
      <c r="C53" s="46" t="str">
        <f>"EMPRESA MINEIRA DE COMUNICAO LTDA"</f>
        <v>EMPRESA MINEIRA DE COMUNICAO LTDA</v>
      </c>
      <c r="D53" s="31" t="s">
        <v>166</v>
      </c>
      <c r="E53" s="31" t="s">
        <v>167</v>
      </c>
      <c r="F53" s="41">
        <v>13854718.08</v>
      </c>
      <c r="G53" s="41">
        <v>0</v>
      </c>
      <c r="H53" s="41">
        <v>13854718.08</v>
      </c>
    </row>
    <row r="54" spans="2:8" x14ac:dyDescent="0.35">
      <c r="B54" s="37">
        <v>11361</v>
      </c>
      <c r="C54" s="46" t="str">
        <f>"RICCI DIARIOS PUBLICIDADE E AGENCIAMENTO"</f>
        <v>RICCI DIARIOS PUBLICIDADE E AGENCIAMENTO</v>
      </c>
      <c r="D54" s="31">
        <v>45264</v>
      </c>
      <c r="E54" s="31">
        <v>47091</v>
      </c>
      <c r="F54" s="41">
        <v>2117696.7200000002</v>
      </c>
      <c r="G54" s="41">
        <v>2098032.36</v>
      </c>
      <c r="H54" s="41">
        <v>19664.36</v>
      </c>
    </row>
    <row r="55" spans="2:8" x14ac:dyDescent="0.35">
      <c r="B55" s="37">
        <v>11363</v>
      </c>
      <c r="C55" s="46" t="str">
        <f>"CONSORCIO OTIMO DE BILHETAGEM ELETRONICA"</f>
        <v>CONSORCIO OTIMO DE BILHETAGEM ELETRONICA</v>
      </c>
      <c r="D55" s="31" t="s">
        <v>170</v>
      </c>
      <c r="E55" s="31" t="s">
        <v>171</v>
      </c>
      <c r="F55" s="41">
        <v>1391.4</v>
      </c>
      <c r="G55" s="41">
        <v>5879500</v>
      </c>
      <c r="H55" s="41">
        <v>8034500</v>
      </c>
    </row>
    <row r="56" spans="2:8" x14ac:dyDescent="0.35">
      <c r="B56" s="37">
        <v>11370</v>
      </c>
      <c r="C56" s="46" t="str">
        <f>"ATC"</f>
        <v>ATC</v>
      </c>
      <c r="D56" s="31">
        <v>45204</v>
      </c>
      <c r="E56" s="31">
        <v>46600</v>
      </c>
      <c r="F56" s="41">
        <v>9436219.9700000007</v>
      </c>
      <c r="G56" s="41">
        <v>8079425.0817999998</v>
      </c>
      <c r="H56" s="41">
        <v>1356794.8881999999</v>
      </c>
    </row>
    <row r="57" spans="2:8" x14ac:dyDescent="0.35">
      <c r="B57" s="37">
        <v>11390</v>
      </c>
      <c r="C57" s="46" t="str">
        <f>"MCR SISTEMAS E CONSULTORIA LTDA"</f>
        <v>MCR SISTEMAS E CONSULTORIA LTDA</v>
      </c>
      <c r="D57" s="31">
        <v>45114</v>
      </c>
      <c r="E57" s="31">
        <v>46575</v>
      </c>
      <c r="F57" s="41">
        <v>597573.32999999996</v>
      </c>
      <c r="G57" s="41">
        <v>597573.29</v>
      </c>
      <c r="H57" s="41">
        <v>0.04</v>
      </c>
    </row>
    <row r="58" spans="2:8" x14ac:dyDescent="0.35">
      <c r="B58" s="37">
        <v>11399</v>
      </c>
      <c r="C58" s="46" t="str">
        <f>"MGS MINAS GERAIS ADMINISTRACAO E SER SA"</f>
        <v>MGS MINAS GERAIS ADMINISTRACAO E SER SA</v>
      </c>
      <c r="D58" s="31" t="s">
        <v>177</v>
      </c>
      <c r="E58" s="31" t="s">
        <v>178</v>
      </c>
      <c r="F58" s="41">
        <v>83413751.739999995</v>
      </c>
      <c r="G58" s="41">
        <v>50653737.920000002</v>
      </c>
      <c r="H58" s="41">
        <v>32760013.82</v>
      </c>
    </row>
    <row r="59" spans="2:8" x14ac:dyDescent="0.35">
      <c r="B59" s="37">
        <v>11408</v>
      </c>
      <c r="C59" s="46" t="str">
        <f>"SECRETARIA DE ESTADO DE GOVERNO"</f>
        <v>SECRETARIA DE ESTADO DE GOVERNO</v>
      </c>
      <c r="D59" s="31" t="s">
        <v>180</v>
      </c>
      <c r="E59" s="31" t="s">
        <v>181</v>
      </c>
      <c r="F59" s="41">
        <v>384827.52</v>
      </c>
      <c r="G59" s="41">
        <v>185093.44</v>
      </c>
      <c r="H59" s="41">
        <v>199734.08</v>
      </c>
    </row>
    <row r="60" spans="2:8" x14ac:dyDescent="0.35">
      <c r="B60" s="37">
        <v>11410</v>
      </c>
      <c r="C60" s="46" t="str">
        <f>"ABATEX INDUSTRIA E COMERCIO LTDA"</f>
        <v>ABATEX INDUSTRIA E COMERCIO LTDA</v>
      </c>
      <c r="D60" s="31">
        <v>45239</v>
      </c>
      <c r="E60" s="31">
        <v>47066</v>
      </c>
      <c r="F60" s="41">
        <v>285999.65000000002</v>
      </c>
      <c r="G60" s="41">
        <v>285999.65000000002</v>
      </c>
      <c r="H60" s="41">
        <v>0</v>
      </c>
    </row>
    <row r="61" spans="2:8" x14ac:dyDescent="0.35">
      <c r="B61" s="37">
        <v>11416</v>
      </c>
      <c r="C61" s="46" t="str">
        <f>"AC CLEAN COMERCIO DE LIMPEZA EIRELI  ME"</f>
        <v>AC CLEAN COMERCIO DE LIMPEZA EIRELI  ME</v>
      </c>
      <c r="D61" s="31">
        <v>45086</v>
      </c>
      <c r="E61" s="31">
        <v>46547</v>
      </c>
      <c r="F61" s="41">
        <v>248863.79</v>
      </c>
      <c r="G61" s="41">
        <v>140539.54</v>
      </c>
      <c r="H61" s="41">
        <v>108324.25</v>
      </c>
    </row>
    <row r="62" spans="2:8" x14ac:dyDescent="0.35">
      <c r="B62" s="37">
        <v>11420</v>
      </c>
      <c r="C62" s="46" t="str">
        <f>"AOVS SISTEMAS DE  INFORMATICA SA"</f>
        <v>AOVS SISTEMAS DE  INFORMATICA SA</v>
      </c>
      <c r="D62" s="31" t="s">
        <v>185</v>
      </c>
      <c r="E62" s="31" t="s">
        <v>186</v>
      </c>
      <c r="F62" s="41">
        <v>12144.48</v>
      </c>
      <c r="G62" s="41">
        <v>11803.46</v>
      </c>
      <c r="H62" s="41">
        <v>3410200</v>
      </c>
    </row>
    <row r="63" spans="2:8" x14ac:dyDescent="0.35">
      <c r="B63" s="37">
        <v>11425</v>
      </c>
      <c r="C63" s="46" t="str">
        <f>"HIPERTEXTO COMUNICACAO EMPRESARIAL SOCIEDADE SIMPLES   PURA"</f>
        <v>HIPERTEXTO COMUNICACAO EMPRESARIAL SOCIEDADE SIMPLES   PURA</v>
      </c>
      <c r="D63" s="31" t="s">
        <v>188</v>
      </c>
      <c r="E63" s="31" t="s">
        <v>189</v>
      </c>
      <c r="F63" s="41">
        <v>1459177.26</v>
      </c>
      <c r="G63" s="41">
        <v>1430852.93</v>
      </c>
      <c r="H63" s="41">
        <v>28324.33</v>
      </c>
    </row>
    <row r="64" spans="2:8" x14ac:dyDescent="0.35">
      <c r="B64" s="37">
        <v>11429</v>
      </c>
      <c r="C64" s="46" t="str">
        <f>"FORT SECURE TECNOLOGIA LTDA"</f>
        <v>FORT SECURE TECNOLOGIA LTDA</v>
      </c>
      <c r="D64" s="31" t="s">
        <v>191</v>
      </c>
      <c r="E64" s="31" t="s">
        <v>192</v>
      </c>
      <c r="F64" s="41">
        <v>233820</v>
      </c>
      <c r="G64" s="41">
        <v>230325</v>
      </c>
      <c r="H64" s="41">
        <v>3495</v>
      </c>
    </row>
    <row r="65" spans="2:8" x14ac:dyDescent="0.35">
      <c r="B65" s="37">
        <v>11441</v>
      </c>
      <c r="C65" s="46" t="str">
        <f>"CCA AUTOMACAO  PREDIAL LTDA ME"</f>
        <v>CCA AUTOMACAO  PREDIAL LTDA ME</v>
      </c>
      <c r="D65" s="31" t="s">
        <v>194</v>
      </c>
      <c r="E65" s="31" t="s">
        <v>195</v>
      </c>
      <c r="F65" s="41">
        <v>77863.31</v>
      </c>
      <c r="G65" s="41">
        <v>73396.539999999994</v>
      </c>
      <c r="H65" s="41">
        <v>4466.7700000000004</v>
      </c>
    </row>
    <row r="66" spans="2:8" x14ac:dyDescent="0.35">
      <c r="B66" s="37">
        <v>11442</v>
      </c>
      <c r="C66" s="46" t="str">
        <f>"CENTRIC SYSTEM BRAZIL SOFTWARES LTDA"</f>
        <v>CENTRIC SYSTEM BRAZIL SOFTWARES LTDA</v>
      </c>
      <c r="D66" s="31" t="s">
        <v>199</v>
      </c>
      <c r="E66" s="31" t="s">
        <v>200</v>
      </c>
      <c r="F66" s="41">
        <v>55350</v>
      </c>
      <c r="G66" s="41">
        <v>52733.4</v>
      </c>
      <c r="H66" s="41">
        <v>2616.6</v>
      </c>
    </row>
    <row r="67" spans="2:8" x14ac:dyDescent="0.35">
      <c r="B67" s="37">
        <v>11452</v>
      </c>
      <c r="C67" s="46" t="str">
        <f>"PREFEITURA MUNICIPAL DE LAGOA SANTA"</f>
        <v>PREFEITURA MUNICIPAL DE LAGOA SANTA</v>
      </c>
      <c r="D67" s="31">
        <v>45088</v>
      </c>
      <c r="E67" s="31">
        <v>46601</v>
      </c>
      <c r="F67" s="41">
        <v>3700000</v>
      </c>
      <c r="G67" s="41">
        <v>3700000</v>
      </c>
      <c r="H67" s="41">
        <v>0</v>
      </c>
    </row>
    <row r="68" spans="2:8" x14ac:dyDescent="0.35">
      <c r="B68" s="37">
        <v>11456</v>
      </c>
      <c r="C68" s="46" t="str">
        <f>"INTERNATIONAL FINANCE CORPORATION"</f>
        <v>INTERNATIONAL FINANCE CORPORATION</v>
      </c>
      <c r="D68" s="31">
        <v>45118</v>
      </c>
      <c r="E68" s="31">
        <v>46214</v>
      </c>
      <c r="F68" s="41">
        <v>18185513.510000002</v>
      </c>
      <c r="G68" s="41">
        <v>18008652.699999999</v>
      </c>
      <c r="H68" s="41">
        <v>176860.81</v>
      </c>
    </row>
    <row r="69" spans="2:8" x14ac:dyDescent="0.35">
      <c r="B69" s="37">
        <v>11458</v>
      </c>
      <c r="C69" s="46" t="str">
        <f>"VALEC ENGENHARIA CONSTRUCOES E FERROVIAS SA"</f>
        <v>VALEC ENGENHARIA CONSTRUCOES E FERROVIAS SA</v>
      </c>
      <c r="D69" s="31" t="s">
        <v>206</v>
      </c>
      <c r="E69" s="31">
        <v>46365</v>
      </c>
      <c r="F69" s="41">
        <v>5016317.2300000004</v>
      </c>
      <c r="G69" s="41">
        <v>4514685.51</v>
      </c>
      <c r="H69" s="41">
        <v>501631.72</v>
      </c>
    </row>
    <row r="70" spans="2:8" ht="29" x14ac:dyDescent="0.35">
      <c r="B70" s="37">
        <v>11460</v>
      </c>
      <c r="C70" s="46" t="str">
        <f>"AVATZ GEOLOGIA E ENGENHARIA AMBIENTAL E SEGURANCA DO TRABALHO LTDA"</f>
        <v>AVATZ GEOLOGIA E ENGENHARIA AMBIENTAL E SEGURANCA DO TRABALHO LTDA</v>
      </c>
      <c r="D70" s="31" t="s">
        <v>210</v>
      </c>
      <c r="E70" s="31" t="s">
        <v>211</v>
      </c>
      <c r="F70" s="41">
        <v>110718.91</v>
      </c>
      <c r="G70" s="41">
        <v>106089.60000000001</v>
      </c>
      <c r="H70" s="41">
        <v>4629.3100000000004</v>
      </c>
    </row>
    <row r="71" spans="2:8" x14ac:dyDescent="0.35">
      <c r="B71" s="37">
        <v>11467</v>
      </c>
      <c r="C71" s="46" t="str">
        <f>"PRODEMGE  CIA DE TECNOL DA INFORMACAO DE MG"</f>
        <v>PRODEMGE  CIA DE TECNOL DA INFORMACAO DE MG</v>
      </c>
      <c r="D71" s="31" t="s">
        <v>213</v>
      </c>
      <c r="E71" s="31" t="s">
        <v>214</v>
      </c>
      <c r="F71" s="41">
        <v>1792296</v>
      </c>
      <c r="G71" s="41">
        <v>938827.6</v>
      </c>
      <c r="H71" s="41">
        <v>853468.4</v>
      </c>
    </row>
    <row r="72" spans="2:8" x14ac:dyDescent="0.35">
      <c r="B72" s="37">
        <v>11473</v>
      </c>
      <c r="C72" s="46" t="str">
        <f>"NP CAPACITACAO E SOLUCOES TECNOLOGICAS LTDA"</f>
        <v>NP CAPACITACAO E SOLUCOES TECNOLOGICAS LTDA</v>
      </c>
      <c r="D72" s="31">
        <v>45089</v>
      </c>
      <c r="E72" s="31">
        <v>46185</v>
      </c>
      <c r="F72" s="41">
        <v>70920</v>
      </c>
      <c r="G72" s="41">
        <v>70920</v>
      </c>
      <c r="H72" s="41">
        <v>0</v>
      </c>
    </row>
    <row r="73" spans="2:8" x14ac:dyDescent="0.35">
      <c r="B73" s="37">
        <v>11478</v>
      </c>
      <c r="C73" s="46" t="str">
        <f>"GRANDE HOTEL DE ARAXA E TERMAS LTDA"</f>
        <v>GRANDE HOTEL DE ARAXA E TERMAS LTDA</v>
      </c>
      <c r="D73" s="31" t="s">
        <v>213</v>
      </c>
      <c r="E73" s="31" t="s">
        <v>23</v>
      </c>
      <c r="F73" s="41">
        <v>6244757.1399999997</v>
      </c>
      <c r="G73" s="41">
        <v>6201226.0499999998</v>
      </c>
      <c r="H73" s="41">
        <v>43531.09</v>
      </c>
    </row>
    <row r="74" spans="2:8" x14ac:dyDescent="0.35">
      <c r="B74" s="37">
        <v>11506</v>
      </c>
      <c r="C74" s="46" t="str">
        <f>"CRU INTERNATIONAL LIMITED"</f>
        <v>CRU INTERNATIONAL LIMITED</v>
      </c>
      <c r="D74" s="31">
        <v>44935</v>
      </c>
      <c r="E74" s="31" t="s">
        <v>733</v>
      </c>
      <c r="F74" s="41">
        <v>213316.38</v>
      </c>
      <c r="G74" s="41">
        <v>106673.74</v>
      </c>
      <c r="H74" s="41">
        <v>106642.64</v>
      </c>
    </row>
    <row r="75" spans="2:8" x14ac:dyDescent="0.35">
      <c r="B75" s="37">
        <v>11509</v>
      </c>
      <c r="C75" s="46" t="str">
        <f>"CEMIG DISTRIBUICAO S A"</f>
        <v>CEMIG DISTRIBUICAO S A</v>
      </c>
      <c r="D75" s="31" t="s">
        <v>223</v>
      </c>
      <c r="E75" s="31" t="s">
        <v>224</v>
      </c>
      <c r="F75" s="41">
        <v>165600</v>
      </c>
      <c r="G75" s="41">
        <v>88854.52</v>
      </c>
      <c r="H75" s="41">
        <v>76745.48</v>
      </c>
    </row>
    <row r="76" spans="2:8" x14ac:dyDescent="0.35">
      <c r="B76" s="37">
        <v>11517</v>
      </c>
      <c r="C76" s="46" t="str">
        <f>"BANCO NACIONAL DE DESENVOLVIMENTO ECONOMICO E SOCIAL"</f>
        <v>BANCO NACIONAL DE DESENVOLVIMENTO ECONOMICO E SOCIAL</v>
      </c>
      <c r="D76" s="31">
        <v>45629</v>
      </c>
      <c r="E76" s="31">
        <v>46694</v>
      </c>
      <c r="F76" s="41">
        <v>10000000</v>
      </c>
      <c r="G76" s="41">
        <v>0</v>
      </c>
      <c r="H76" s="41">
        <v>10000000</v>
      </c>
    </row>
    <row r="77" spans="2:8" x14ac:dyDescent="0.35">
      <c r="B77" s="37">
        <v>11518</v>
      </c>
      <c r="C77" s="46" t="str">
        <f>"SECRETARIA DE ESTADO DE CULTURA"</f>
        <v>SECRETARIA DE ESTADO DE CULTURA</v>
      </c>
      <c r="D77" s="31">
        <v>45326</v>
      </c>
      <c r="E77" s="31">
        <v>46391</v>
      </c>
      <c r="F77" s="41">
        <v>12086072.6</v>
      </c>
      <c r="G77" s="41">
        <v>12086072.6</v>
      </c>
      <c r="H77" s="41">
        <v>0</v>
      </c>
    </row>
    <row r="78" spans="2:8" x14ac:dyDescent="0.35">
      <c r="B78" s="37">
        <v>11534</v>
      </c>
      <c r="C78" s="46" t="str">
        <f>"ERNST  YOUNG ASSESSORIA EMPRESARIAL LTDA"</f>
        <v>ERNST  YOUNG ASSESSORIA EMPRESARIAL LTDA</v>
      </c>
      <c r="D78" s="31" t="s">
        <v>737</v>
      </c>
      <c r="E78" s="31">
        <v>46212</v>
      </c>
      <c r="F78" s="41">
        <v>1603017.18</v>
      </c>
      <c r="G78" s="41">
        <v>1603017.18</v>
      </c>
      <c r="H78" s="41">
        <v>0</v>
      </c>
    </row>
    <row r="79" spans="2:8" x14ac:dyDescent="0.35">
      <c r="B79" s="37">
        <v>11538</v>
      </c>
      <c r="C79" s="46" t="str">
        <f>"CONTI CONSULTORIA EM TECNOLOGIA DA INFOR"</f>
        <v>CONTI CONSULTORIA EM TECNOLOGIA DA INFOR</v>
      </c>
      <c r="D79" s="31" t="s">
        <v>228</v>
      </c>
      <c r="E79" s="31" t="s">
        <v>229</v>
      </c>
      <c r="F79" s="41">
        <v>95648.52</v>
      </c>
      <c r="G79" s="41">
        <v>56058.28</v>
      </c>
      <c r="H79" s="41">
        <v>39590.239999999998</v>
      </c>
    </row>
    <row r="80" spans="2:8" x14ac:dyDescent="0.35">
      <c r="B80" s="37">
        <v>11539</v>
      </c>
      <c r="C80" s="46" t="str">
        <f>"ESCRITORIO DAS NACOES UNIDAS SERVICO DE  PROJETOS"</f>
        <v>ESCRITORIO DAS NACOES UNIDAS SERVICO DE  PROJETOS</v>
      </c>
      <c r="D80" s="31">
        <v>45508</v>
      </c>
      <c r="E80" s="31">
        <v>46607</v>
      </c>
      <c r="F80" s="41">
        <v>17860269.719999999</v>
      </c>
      <c r="G80" s="41">
        <v>1122278.3899999999</v>
      </c>
      <c r="H80" s="41">
        <v>16737991.33</v>
      </c>
    </row>
    <row r="81" spans="2:8" x14ac:dyDescent="0.35">
      <c r="B81" s="37">
        <v>11541</v>
      </c>
      <c r="C81" s="46" t="str">
        <f>"ZENITE INFORMACAO E CONSULTORIA S A"</f>
        <v>ZENITE INFORMACAO E CONSULTORIA S A</v>
      </c>
      <c r="D81" s="31">
        <v>45540</v>
      </c>
      <c r="E81" s="31">
        <v>46635</v>
      </c>
      <c r="F81" s="41">
        <v>28685.21</v>
      </c>
      <c r="G81" s="41">
        <v>28685.21</v>
      </c>
      <c r="H81" s="41">
        <v>0</v>
      </c>
    </row>
    <row r="82" spans="2:8" x14ac:dyDescent="0.35">
      <c r="B82" s="37">
        <v>11543</v>
      </c>
      <c r="C82" s="46" t="str">
        <f>"RADAR PPP LTDA"</f>
        <v>RADAR PPP LTDA</v>
      </c>
      <c r="D82" s="31" t="s">
        <v>234</v>
      </c>
      <c r="E82" s="31" t="s">
        <v>237</v>
      </c>
      <c r="F82" s="41">
        <v>1004967.84</v>
      </c>
      <c r="G82" s="41">
        <v>776342.56</v>
      </c>
      <c r="H82" s="41">
        <v>228625.28</v>
      </c>
    </row>
    <row r="83" spans="2:8" x14ac:dyDescent="0.35">
      <c r="B83" s="37">
        <v>11544</v>
      </c>
      <c r="C83" s="46" t="str">
        <f>"KEPLER VIAGENS EVENTOS E TURISMO EIRELI"</f>
        <v>KEPLER VIAGENS EVENTOS E TURISMO EIRELI</v>
      </c>
      <c r="D83" s="31" t="s">
        <v>234</v>
      </c>
      <c r="E83" s="31" t="s">
        <v>235</v>
      </c>
      <c r="F83" s="41">
        <v>1006231.79</v>
      </c>
      <c r="G83" s="41">
        <v>574920.52</v>
      </c>
      <c r="H83" s="41">
        <v>431311.27</v>
      </c>
    </row>
    <row r="84" spans="2:8" x14ac:dyDescent="0.35">
      <c r="B84" s="37">
        <v>11546</v>
      </c>
      <c r="C84" s="46" t="str">
        <f>"GONTIJO CALDAS  FLEURY ADVOGADOS ASSOCIADOS"</f>
        <v>GONTIJO CALDAS  FLEURY ADVOGADOS ASSOCIADOS</v>
      </c>
      <c r="D84" s="31" t="s">
        <v>242</v>
      </c>
      <c r="E84" s="31" t="s">
        <v>243</v>
      </c>
      <c r="F84" s="41">
        <v>50000</v>
      </c>
      <c r="G84" s="41">
        <v>40000</v>
      </c>
      <c r="H84" s="41">
        <v>10000</v>
      </c>
    </row>
    <row r="85" spans="2:8" ht="29" x14ac:dyDescent="0.35">
      <c r="B85" s="37">
        <v>11560</v>
      </c>
      <c r="C85" s="46" t="str">
        <f>"ASSOCIACAO DE  PAIS  AMIGOS E  MESTRES  DO COLEGIO  MILITAR  DE BELO HORIZONTE"</f>
        <v>ASSOCIACAO DE  PAIS  AMIGOS E  MESTRES  DO COLEGIO  MILITAR  DE BELO HORIZONTE</v>
      </c>
      <c r="D85" s="31">
        <v>45449</v>
      </c>
      <c r="E85" s="31" t="s">
        <v>246</v>
      </c>
      <c r="F85" s="41">
        <v>1347831.45</v>
      </c>
      <c r="G85" s="41">
        <v>1347831.45</v>
      </c>
      <c r="H85" s="41">
        <v>0</v>
      </c>
    </row>
    <row r="86" spans="2:8" x14ac:dyDescent="0.35">
      <c r="B86" s="37">
        <v>11568</v>
      </c>
      <c r="C86" s="46" t="str">
        <f>"CEMIG DISTRIBUICAO S A"</f>
        <v>CEMIG DISTRIBUICAO S A</v>
      </c>
      <c r="D86" s="31" t="s">
        <v>248</v>
      </c>
      <c r="E86" s="31" t="s">
        <v>249</v>
      </c>
      <c r="F86" s="41">
        <v>545544.03</v>
      </c>
      <c r="G86" s="41">
        <v>492541.71</v>
      </c>
      <c r="H86" s="41">
        <v>53002.32</v>
      </c>
    </row>
    <row r="87" spans="2:8" x14ac:dyDescent="0.35">
      <c r="B87" s="37">
        <v>11587</v>
      </c>
      <c r="C87" s="46" t="str">
        <f>"CENTRO SALESIANO DO MENOR  CESAM"</f>
        <v>CENTRO SALESIANO DO MENOR  CESAM</v>
      </c>
      <c r="D87" s="31" t="s">
        <v>251</v>
      </c>
      <c r="E87" s="31" t="s">
        <v>246</v>
      </c>
      <c r="F87" s="41">
        <v>348850.12</v>
      </c>
      <c r="G87" s="41">
        <v>133561.74</v>
      </c>
      <c r="H87" s="41">
        <v>215288.38</v>
      </c>
    </row>
    <row r="88" spans="2:8" x14ac:dyDescent="0.35">
      <c r="B88" s="37">
        <v>11588</v>
      </c>
      <c r="C88" s="46" t="str">
        <f>"FORT SECURE TECNOLOGIA LTDA"</f>
        <v>FORT SECURE TECNOLOGIA LTDA</v>
      </c>
      <c r="D88" s="31" t="s">
        <v>253</v>
      </c>
      <c r="E88" s="31" t="s">
        <v>254</v>
      </c>
      <c r="F88" s="41">
        <v>216032</v>
      </c>
      <c r="G88" s="41">
        <v>203032</v>
      </c>
      <c r="H88" s="41">
        <v>13000</v>
      </c>
    </row>
    <row r="89" spans="2:8" x14ac:dyDescent="0.35">
      <c r="B89" s="37">
        <v>11593</v>
      </c>
      <c r="C89" s="46" t="str">
        <f>"ARARAUNA TURISMO ECOLOGICO LTDA"</f>
        <v>ARARAUNA TURISMO ECOLOGICO LTDA</v>
      </c>
      <c r="D89" s="31" t="s">
        <v>256</v>
      </c>
      <c r="E89" s="31" t="s">
        <v>257</v>
      </c>
      <c r="F89" s="41">
        <v>36000000.75</v>
      </c>
      <c r="G89" s="41">
        <v>4264574.1900000004</v>
      </c>
      <c r="H89" s="41">
        <v>31735426.559999999</v>
      </c>
    </row>
    <row r="90" spans="2:8" x14ac:dyDescent="0.35">
      <c r="B90" s="37">
        <v>11594</v>
      </c>
      <c r="C90" s="46" t="str">
        <f>"LIGA DESPORTIVA DO ALTO RIO PARDO"</f>
        <v>LIGA DESPORTIVA DO ALTO RIO PARDO</v>
      </c>
      <c r="D90" s="31" t="s">
        <v>259</v>
      </c>
      <c r="E90" s="31" t="s">
        <v>192</v>
      </c>
      <c r="F90" s="41">
        <v>598461.64</v>
      </c>
      <c r="G90" s="41">
        <v>598461.64</v>
      </c>
      <c r="H90" s="41">
        <v>0</v>
      </c>
    </row>
    <row r="91" spans="2:8" x14ac:dyDescent="0.35">
      <c r="B91" s="37">
        <v>11635</v>
      </c>
      <c r="C91" s="46" t="str">
        <f>"OPEN TREINAMENTOS EMPRESARIAIS E EDITORA LTDA EPP"</f>
        <v>OPEN TREINAMENTOS EMPRESARIAIS E EDITORA LTDA EPP</v>
      </c>
      <c r="D91" s="31">
        <v>45542</v>
      </c>
      <c r="E91" s="31">
        <v>46972</v>
      </c>
      <c r="F91" s="41">
        <v>30610.7</v>
      </c>
      <c r="G91" s="41">
        <v>22692.09</v>
      </c>
      <c r="H91" s="41">
        <v>7918.61</v>
      </c>
    </row>
    <row r="92" spans="2:8" x14ac:dyDescent="0.35">
      <c r="B92" s="37">
        <v>11636</v>
      </c>
      <c r="C92" s="46" t="str">
        <f>"AGNES AG SOLUCOES TECNOLOGICAS LTDA"</f>
        <v>AGNES AG SOLUCOES TECNOLOGICAS LTDA</v>
      </c>
      <c r="D92" s="31" t="s">
        <v>264</v>
      </c>
      <c r="E92" s="31" t="s">
        <v>265</v>
      </c>
      <c r="F92" s="41">
        <v>362836</v>
      </c>
      <c r="G92" s="41">
        <v>136392.18</v>
      </c>
      <c r="H92" s="41">
        <v>226443.82</v>
      </c>
    </row>
    <row r="93" spans="2:8" x14ac:dyDescent="0.35">
      <c r="B93" s="37">
        <v>11641</v>
      </c>
      <c r="C93" s="46" t="str">
        <f>"PERFIX ASSESSORIA E CONSULTORIA LTDA"</f>
        <v>PERFIX ASSESSORIA E CONSULTORIA LTDA</v>
      </c>
      <c r="D93" s="31">
        <v>45603</v>
      </c>
      <c r="E93" s="31">
        <v>46722</v>
      </c>
      <c r="F93" s="41">
        <v>241000</v>
      </c>
      <c r="G93" s="41">
        <v>222925</v>
      </c>
      <c r="H93" s="41">
        <v>18075</v>
      </c>
    </row>
    <row r="94" spans="2:8" x14ac:dyDescent="0.35">
      <c r="B94" s="37">
        <v>11646</v>
      </c>
      <c r="C94" s="46" t="str">
        <f>"CARMO E DELGADO GEOLOGOS CONSULT LTDA"</f>
        <v>CARMO E DELGADO GEOLOGOS CONSULT LTDA</v>
      </c>
      <c r="D94" s="31">
        <v>45572</v>
      </c>
      <c r="E94" s="31">
        <v>47035</v>
      </c>
      <c r="F94" s="41">
        <v>1477799</v>
      </c>
      <c r="G94" s="41">
        <v>590688.18000000005</v>
      </c>
      <c r="H94" s="41">
        <v>887110.82</v>
      </c>
    </row>
    <row r="95" spans="2:8" x14ac:dyDescent="0.35">
      <c r="B95" s="37">
        <v>11647</v>
      </c>
      <c r="C95" s="46" t="str">
        <f>"PREFEITURA MUNICIPAL DE LAMBARI"</f>
        <v>PREFEITURA MUNICIPAL DE LAMBARI</v>
      </c>
      <c r="D95" s="31">
        <v>45633</v>
      </c>
      <c r="E95" s="31" t="s">
        <v>14</v>
      </c>
      <c r="F95" s="41">
        <v>32500000</v>
      </c>
      <c r="G95" s="41">
        <v>0</v>
      </c>
      <c r="H95" s="41">
        <v>32500000</v>
      </c>
    </row>
    <row r="96" spans="2:8" x14ac:dyDescent="0.35">
      <c r="B96" s="37">
        <v>11648</v>
      </c>
      <c r="C96" s="46" t="str">
        <f>"PREFEITURA MUNICIPAL DE RIBEIRAO DAS NEVES"</f>
        <v>PREFEITURA MUNICIPAL DE RIBEIRAO DAS NEVES</v>
      </c>
      <c r="D96" s="31" t="s">
        <v>272</v>
      </c>
      <c r="E96" s="31" t="s">
        <v>14</v>
      </c>
      <c r="F96" s="41">
        <v>4650000</v>
      </c>
      <c r="G96" s="41">
        <v>0</v>
      </c>
      <c r="H96" s="41">
        <v>4650000</v>
      </c>
    </row>
    <row r="97" spans="2:8" x14ac:dyDescent="0.35">
      <c r="B97" s="37">
        <v>11650</v>
      </c>
      <c r="C97" s="46" t="str">
        <f>"PREFEITURA MUNICIPAL DE CAMBUQUIRA"</f>
        <v>PREFEITURA MUNICIPAL DE CAMBUQUIRA</v>
      </c>
      <c r="D97" s="31">
        <v>45419</v>
      </c>
      <c r="E97" s="31" t="s">
        <v>14</v>
      </c>
      <c r="F97" s="41">
        <v>2068396.54</v>
      </c>
      <c r="G97" s="41">
        <v>0</v>
      </c>
      <c r="H97" s="41">
        <v>2068396.54</v>
      </c>
    </row>
    <row r="98" spans="2:8" x14ac:dyDescent="0.35">
      <c r="B98" s="37">
        <v>11655</v>
      </c>
      <c r="C98" s="46" t="str">
        <f>"LICITAR DIGITAL SERVICOS EM TECNOLOGIA DA INFORMACAO LTDA"</f>
        <v>LICITAR DIGITAL SERVICOS EM TECNOLOGIA DA INFORMACAO LTDA</v>
      </c>
      <c r="D98" s="31" t="s">
        <v>244</v>
      </c>
      <c r="E98" s="31" t="s">
        <v>277</v>
      </c>
      <c r="F98" s="41">
        <v>931102.28</v>
      </c>
      <c r="G98" s="41">
        <v>322150.45</v>
      </c>
      <c r="H98" s="41">
        <v>608951.82999999996</v>
      </c>
    </row>
    <row r="99" spans="2:8" x14ac:dyDescent="0.35">
      <c r="B99" s="37">
        <v>11659</v>
      </c>
      <c r="C99" s="46" t="str">
        <f>"CAUANNA  SERVICOS DE GRAFICA  RAPIDA  LTDA"</f>
        <v>CAUANNA  SERVICOS DE GRAFICA  RAPIDA  LTDA</v>
      </c>
      <c r="D99" s="31" t="s">
        <v>279</v>
      </c>
      <c r="E99" s="31" t="s">
        <v>280</v>
      </c>
      <c r="F99" s="41">
        <v>2416584.12</v>
      </c>
      <c r="G99" s="41">
        <v>1465187.58</v>
      </c>
      <c r="H99" s="41">
        <v>951396.54</v>
      </c>
    </row>
    <row r="100" spans="2:8" ht="29" x14ac:dyDescent="0.35">
      <c r="B100" s="37">
        <v>11665</v>
      </c>
      <c r="C100" s="46" t="str">
        <f>"PTV DO BRASIL  IMPORTACAO  LICENCAS  E  SUPORTE   DE SOFTWARE  LTDA"</f>
        <v>PTV DO BRASIL  IMPORTACAO  LICENCAS  E  SUPORTE   DE SOFTWARE  LTDA</v>
      </c>
      <c r="D100" s="31" t="s">
        <v>283</v>
      </c>
      <c r="E100" s="31" t="s">
        <v>284</v>
      </c>
      <c r="F100" s="41">
        <v>1867210</v>
      </c>
      <c r="G100" s="41">
        <v>1867210</v>
      </c>
      <c r="H100" s="41">
        <v>0</v>
      </c>
    </row>
    <row r="101" spans="2:8" x14ac:dyDescent="0.35">
      <c r="B101" s="37">
        <v>11669</v>
      </c>
      <c r="C101" s="46" t="str">
        <f>"EDITORA NEGOCIOS PUBLICOS DO BRASIL EIRELI"</f>
        <v>EDITORA NEGOCIOS PUBLICOS DO BRASIL EIRELI</v>
      </c>
      <c r="D101" s="31">
        <v>45360</v>
      </c>
      <c r="E101" s="31">
        <v>46455</v>
      </c>
      <c r="F101" s="41">
        <v>23071.279999999999</v>
      </c>
      <c r="G101" s="41">
        <v>15006.79</v>
      </c>
      <c r="H101" s="41">
        <v>8064.49</v>
      </c>
    </row>
    <row r="102" spans="2:8" x14ac:dyDescent="0.35">
      <c r="B102" s="37">
        <v>11672</v>
      </c>
      <c r="C102" s="46" t="str">
        <f>"NACIONAL GAS  BUTANO DISTRIBUIODORA  LTDA"</f>
        <v>NACIONAL GAS  BUTANO DISTRIBUIODORA  LTDA</v>
      </c>
      <c r="D102" s="31">
        <v>45605</v>
      </c>
      <c r="E102" s="31">
        <v>47066</v>
      </c>
      <c r="F102" s="41">
        <v>664350</v>
      </c>
      <c r="G102" s="41">
        <v>174638.74</v>
      </c>
      <c r="H102" s="41">
        <v>489711.26</v>
      </c>
    </row>
    <row r="103" spans="2:8" x14ac:dyDescent="0.35">
      <c r="B103" s="37">
        <v>11686</v>
      </c>
      <c r="C103" s="46" t="str">
        <f>"GGB CLINICA  E ENGENHARIA LTDA"</f>
        <v>GGB CLINICA  E ENGENHARIA LTDA</v>
      </c>
      <c r="D103" s="31">
        <v>45301</v>
      </c>
      <c r="E103" s="31">
        <v>46397</v>
      </c>
      <c r="F103" s="41">
        <v>95198.43</v>
      </c>
      <c r="G103" s="41">
        <v>57334</v>
      </c>
      <c r="H103" s="41">
        <v>37864.43</v>
      </c>
    </row>
    <row r="104" spans="2:8" x14ac:dyDescent="0.35">
      <c r="B104" s="37">
        <v>11690</v>
      </c>
      <c r="C104" s="46" t="str">
        <f>"SOFTEXPERT SOFTWARE SA"</f>
        <v>SOFTEXPERT SOFTWARE SA</v>
      </c>
      <c r="D104" s="31">
        <v>45606</v>
      </c>
      <c r="E104" s="31">
        <v>47401</v>
      </c>
      <c r="F104" s="41">
        <v>1397336.45</v>
      </c>
      <c r="G104" s="41">
        <v>638884.97</v>
      </c>
      <c r="H104" s="41">
        <v>758451.48</v>
      </c>
    </row>
    <row r="105" spans="2:8" x14ac:dyDescent="0.35">
      <c r="B105" s="37">
        <v>11694</v>
      </c>
      <c r="C105" s="46" t="str">
        <f>"GRI BRAZIL EVENTOS LTDA"</f>
        <v>GRI BRAZIL EVENTOS LTDA</v>
      </c>
      <c r="D105" s="31">
        <v>45606</v>
      </c>
      <c r="E105" s="31">
        <v>46336</v>
      </c>
      <c r="F105" s="41">
        <v>593845.5</v>
      </c>
      <c r="G105" s="41">
        <v>460255.92</v>
      </c>
      <c r="H105" s="41">
        <v>133589.57999999999</v>
      </c>
    </row>
    <row r="106" spans="2:8" x14ac:dyDescent="0.35">
      <c r="B106" s="37">
        <v>11698</v>
      </c>
      <c r="C106" s="46" t="str">
        <f>"PRAXIS SISTEMAS DE INFORMATICA LTDA ME"</f>
        <v>PRAXIS SISTEMAS DE INFORMATICA LTDA ME</v>
      </c>
      <c r="D106" s="31" t="s">
        <v>289</v>
      </c>
      <c r="E106" s="31" t="s">
        <v>770</v>
      </c>
      <c r="F106" s="41">
        <v>29347.94</v>
      </c>
      <c r="G106" s="41">
        <v>18567.54</v>
      </c>
      <c r="H106" s="41">
        <v>10780.4</v>
      </c>
    </row>
    <row r="107" spans="2:8" x14ac:dyDescent="0.35">
      <c r="B107" s="37">
        <v>11702</v>
      </c>
      <c r="C107" s="46" t="str">
        <f>"PRODEMGE  CIA DE TECNOL DA INFORMACAO DE MG"</f>
        <v>PRODEMGE  CIA DE TECNOL DA INFORMACAO DE MG</v>
      </c>
      <c r="D107" s="31" t="s">
        <v>292</v>
      </c>
      <c r="E107" s="31" t="s">
        <v>293</v>
      </c>
      <c r="F107" s="41">
        <v>1169864</v>
      </c>
      <c r="G107" s="41">
        <v>40456.92</v>
      </c>
      <c r="H107" s="41">
        <v>1129407.08</v>
      </c>
    </row>
    <row r="108" spans="2:8" x14ac:dyDescent="0.35">
      <c r="B108" s="37">
        <v>11704</v>
      </c>
      <c r="C108" s="46" t="str">
        <f>"CLICK TI TECNOLOGIA LTDA"</f>
        <v>CLICK TI TECNOLOGIA LTDA</v>
      </c>
      <c r="D108" s="31" t="s">
        <v>295</v>
      </c>
      <c r="E108" s="31" t="s">
        <v>296</v>
      </c>
      <c r="F108" s="41">
        <v>190000</v>
      </c>
      <c r="G108" s="41">
        <v>190000</v>
      </c>
      <c r="H108" s="41">
        <v>0</v>
      </c>
    </row>
    <row r="109" spans="2:8" x14ac:dyDescent="0.35">
      <c r="B109" s="37">
        <v>11706</v>
      </c>
      <c r="C109" s="46" t="str">
        <f>"AGENES S  DA SILVA SUPRIMENTOS DE INFORMATICA   ME"</f>
        <v>AGENES S  DA SILVA SUPRIMENTOS DE INFORMATICA   ME</v>
      </c>
      <c r="D109" s="31">
        <v>45393</v>
      </c>
      <c r="E109" s="31">
        <v>46123</v>
      </c>
      <c r="F109" s="41">
        <v>41239.65</v>
      </c>
      <c r="G109" s="41">
        <v>41239.65</v>
      </c>
      <c r="H109" s="41">
        <v>0</v>
      </c>
    </row>
    <row r="110" spans="2:8" ht="29" x14ac:dyDescent="0.35">
      <c r="B110" s="37">
        <v>11707</v>
      </c>
      <c r="C110" s="46" t="str">
        <f>"OLIVEIRA ANDRADE SERVICOS DE MONITORAMENTO DE INFORMACOES LTDA"</f>
        <v>OLIVEIRA ANDRADE SERVICOS DE MONITORAMENTO DE INFORMACOES LTDA</v>
      </c>
      <c r="D110" s="31">
        <v>45454</v>
      </c>
      <c r="E110" s="31">
        <v>46518</v>
      </c>
      <c r="F110" s="41">
        <v>156739.68</v>
      </c>
      <c r="G110" s="41">
        <v>93898.67</v>
      </c>
      <c r="H110" s="41">
        <v>62841.01</v>
      </c>
    </row>
    <row r="111" spans="2:8" x14ac:dyDescent="0.35">
      <c r="B111" s="37">
        <v>11718</v>
      </c>
      <c r="C111" s="46" t="str">
        <f>"CEMIG DISTRIBUICAO S A"</f>
        <v>CEMIG DISTRIBUICAO S A</v>
      </c>
      <c r="D111" s="31">
        <v>45607</v>
      </c>
      <c r="E111" s="31">
        <v>46337</v>
      </c>
      <c r="F111" s="41">
        <v>607500</v>
      </c>
      <c r="G111" s="41">
        <v>421670.82</v>
      </c>
      <c r="H111" s="41">
        <v>185829.18</v>
      </c>
    </row>
    <row r="112" spans="2:8" x14ac:dyDescent="0.35">
      <c r="B112" s="37">
        <v>11725</v>
      </c>
      <c r="C112" s="46" t="str">
        <f>"UNIMED SEGURADORA S A"</f>
        <v>UNIMED SEGURADORA S A</v>
      </c>
      <c r="D112" s="31">
        <v>45394</v>
      </c>
      <c r="E112" s="31">
        <v>46388</v>
      </c>
      <c r="F112" s="41">
        <v>23876.16</v>
      </c>
      <c r="G112" s="41">
        <v>18901.96</v>
      </c>
      <c r="H112" s="41">
        <v>4974.2</v>
      </c>
    </row>
    <row r="113" spans="2:8" x14ac:dyDescent="0.35">
      <c r="B113" s="37">
        <v>11726</v>
      </c>
      <c r="C113" s="46" t="str">
        <f>"UNIMED SEGURADORA S A"</f>
        <v>UNIMED SEGURADORA S A</v>
      </c>
      <c r="D113" s="31">
        <v>45394</v>
      </c>
      <c r="E113" s="31">
        <v>46399</v>
      </c>
      <c r="F113" s="41">
        <v>581087.98</v>
      </c>
      <c r="G113" s="41">
        <v>478464.47</v>
      </c>
      <c r="H113" s="41">
        <v>102623.51</v>
      </c>
    </row>
    <row r="114" spans="2:8" x14ac:dyDescent="0.35">
      <c r="B114" s="37">
        <v>11727</v>
      </c>
      <c r="C114" s="46" t="str">
        <f>"MS SEGURANCA  ELETRONICA LTDA"</f>
        <v>MS SEGURANCA  ELETRONICA LTDA</v>
      </c>
      <c r="D114" s="31">
        <v>45455</v>
      </c>
      <c r="E114" s="31">
        <v>46185</v>
      </c>
      <c r="F114" s="41">
        <v>43968</v>
      </c>
      <c r="G114" s="41">
        <v>36640</v>
      </c>
      <c r="H114" s="41">
        <v>7328</v>
      </c>
    </row>
    <row r="115" spans="2:8" x14ac:dyDescent="0.35">
      <c r="B115" s="37">
        <v>11728</v>
      </c>
      <c r="C115" s="46" t="str">
        <f>"SELBETTI GESTAO DE DOCUMENTOS S A"</f>
        <v>SELBETTI GESTAO DE DOCUMENTOS S A</v>
      </c>
      <c r="D115" s="31" t="s">
        <v>306</v>
      </c>
      <c r="E115" s="31" t="s">
        <v>307</v>
      </c>
      <c r="F115" s="41">
        <v>353306.6</v>
      </c>
      <c r="G115" s="41">
        <v>143505.54</v>
      </c>
      <c r="H115" s="41">
        <v>209801.06</v>
      </c>
    </row>
    <row r="116" spans="2:8" x14ac:dyDescent="0.35">
      <c r="B116" s="37">
        <v>11732</v>
      </c>
      <c r="C116" s="46" t="str">
        <f>"TELEFONICA BRASIL SA"</f>
        <v>TELEFONICA BRASIL SA</v>
      </c>
      <c r="D116" s="31" t="s">
        <v>309</v>
      </c>
      <c r="E116" s="31" t="s">
        <v>310</v>
      </c>
      <c r="F116" s="41">
        <v>400509.6</v>
      </c>
      <c r="G116" s="41">
        <v>232202.94</v>
      </c>
      <c r="H116" s="41">
        <v>168306.66</v>
      </c>
    </row>
    <row r="117" spans="2:8" x14ac:dyDescent="0.35">
      <c r="B117" s="37">
        <v>11744</v>
      </c>
      <c r="C117" s="46" t="str">
        <f>"SECRETARIA DE ESTADO DE AGRICULTURA PECUARIA E ABASTECIMENTO"</f>
        <v>SECRETARIA DE ESTADO DE AGRICULTURA PECUARIA E ABASTECIMENTO</v>
      </c>
      <c r="D117" s="31" t="s">
        <v>314</v>
      </c>
      <c r="E117" s="31" t="s">
        <v>109</v>
      </c>
      <c r="F117" s="41">
        <v>5186330.3</v>
      </c>
      <c r="G117" s="41">
        <v>2512436.2999999998</v>
      </c>
      <c r="H117" s="41">
        <v>2673894</v>
      </c>
    </row>
    <row r="118" spans="2:8" x14ac:dyDescent="0.35">
      <c r="B118" s="37">
        <v>11746</v>
      </c>
      <c r="C118" s="46" t="str">
        <f>"DATACOP COMERCIO E SERVICOS DE MICROFILMAGEM LTDA  EPP"</f>
        <v>DATACOP COMERCIO E SERVICOS DE MICROFILMAGEM LTDA  EPP</v>
      </c>
      <c r="D118" s="31">
        <v>45809</v>
      </c>
      <c r="E118" s="31">
        <v>47635</v>
      </c>
      <c r="F118" s="41">
        <v>34000</v>
      </c>
      <c r="G118" s="41">
        <v>7726.73</v>
      </c>
      <c r="H118" s="41">
        <v>26273.27</v>
      </c>
    </row>
    <row r="119" spans="2:8" x14ac:dyDescent="0.35">
      <c r="B119" s="37">
        <v>11751</v>
      </c>
      <c r="C119" s="46" t="str">
        <f>"TOTVS SA"</f>
        <v>TOTVS SA</v>
      </c>
      <c r="D119" s="31">
        <v>45717</v>
      </c>
      <c r="E119" s="31">
        <v>47543</v>
      </c>
      <c r="F119" s="41">
        <v>1223406.1299999999</v>
      </c>
      <c r="G119" s="41">
        <v>399592.19</v>
      </c>
      <c r="H119" s="41">
        <v>823813.94</v>
      </c>
    </row>
    <row r="120" spans="2:8" x14ac:dyDescent="0.35">
      <c r="B120" s="37">
        <v>11757</v>
      </c>
      <c r="C120" s="46" t="str">
        <f>"LAVANDERIA MORRO CHIC LTDA"</f>
        <v>LAVANDERIA MORRO CHIC LTDA</v>
      </c>
      <c r="D120" s="31" t="s">
        <v>318</v>
      </c>
      <c r="E120" s="31" t="s">
        <v>319</v>
      </c>
      <c r="F120" s="41">
        <v>195744</v>
      </c>
      <c r="G120" s="41">
        <v>55564.6</v>
      </c>
      <c r="H120" s="41">
        <v>140179.4</v>
      </c>
    </row>
    <row r="121" spans="2:8" x14ac:dyDescent="0.35">
      <c r="B121" s="37">
        <v>11759</v>
      </c>
      <c r="C121" s="46" t="str">
        <f>"PREFEITURA MUNICIPAL DE CONTAGEM"</f>
        <v>PREFEITURA MUNICIPAL DE CONTAGEM</v>
      </c>
      <c r="D121" s="31">
        <v>45840</v>
      </c>
      <c r="E121" s="31">
        <v>46938</v>
      </c>
      <c r="F121" s="41">
        <v>5122781.78</v>
      </c>
      <c r="G121" s="41">
        <v>2304871.98</v>
      </c>
      <c r="H121" s="41">
        <v>2817909.8</v>
      </c>
    </row>
    <row r="122" spans="2:8" x14ac:dyDescent="0.35">
      <c r="B122" s="37">
        <v>11764</v>
      </c>
      <c r="C122" s="46" t="str">
        <f>"INSTITUTO BRASILEIRO DE GOVERNANCA CORPORATIVA"</f>
        <v>INSTITUTO BRASILEIRO DE GOVERNANCA CORPORATIVA</v>
      </c>
      <c r="D122" s="31" t="s">
        <v>322</v>
      </c>
      <c r="E122" s="31" t="s">
        <v>323</v>
      </c>
      <c r="F122" s="41">
        <v>19560</v>
      </c>
      <c r="G122" s="41">
        <v>0</v>
      </c>
      <c r="H122" s="41">
        <v>19560</v>
      </c>
    </row>
    <row r="123" spans="2:8" x14ac:dyDescent="0.35">
      <c r="B123" s="37">
        <v>11768</v>
      </c>
      <c r="C123" s="46" t="str">
        <f>"SOCIEDADE MINEIRA DE CULTURA"</f>
        <v>SOCIEDADE MINEIRA DE CULTURA</v>
      </c>
      <c r="D123" s="31" t="s">
        <v>326</v>
      </c>
      <c r="E123" s="31" t="s">
        <v>327</v>
      </c>
      <c r="F123" s="41">
        <v>259047</v>
      </c>
      <c r="G123" s="41">
        <v>259046.99</v>
      </c>
      <c r="H123" s="41">
        <v>0.01</v>
      </c>
    </row>
    <row r="124" spans="2:8" x14ac:dyDescent="0.35">
      <c r="B124" s="37">
        <v>11771</v>
      </c>
      <c r="C124" s="46" t="str">
        <f>"GRENA ARQUITETURA E URBANISMO LTDA"</f>
        <v>GRENA ARQUITETURA E URBANISMO LTDA</v>
      </c>
      <c r="D124" s="31" t="s">
        <v>331</v>
      </c>
      <c r="E124" s="31" t="s">
        <v>332</v>
      </c>
      <c r="F124" s="41">
        <v>337500</v>
      </c>
      <c r="G124" s="41">
        <v>209250</v>
      </c>
      <c r="H124" s="41">
        <v>128250</v>
      </c>
    </row>
    <row r="125" spans="2:8" x14ac:dyDescent="0.35">
      <c r="B125" s="37">
        <v>11772</v>
      </c>
      <c r="C125" s="46" t="str">
        <f>"DME DISTRIBUICAO SA  DMED"</f>
        <v>DME DISTRIBUICAO SA  DMED</v>
      </c>
      <c r="D125" s="31">
        <v>45994</v>
      </c>
      <c r="E125" s="31">
        <v>46724</v>
      </c>
      <c r="F125" s="41">
        <v>562990.51</v>
      </c>
      <c r="G125" s="41">
        <v>247992.38</v>
      </c>
      <c r="H125" s="41">
        <v>314998.13</v>
      </c>
    </row>
    <row r="126" spans="2:8" x14ac:dyDescent="0.35">
      <c r="B126" s="37">
        <v>11773</v>
      </c>
      <c r="C126" s="46" t="str">
        <f>"GRID  ENERGIA SERVICOS E SOLUCOES LTDA"</f>
        <v>GRID  ENERGIA SERVICOS E SOLUCOES LTDA</v>
      </c>
      <c r="D126" s="31">
        <v>45841</v>
      </c>
      <c r="E126" s="31" t="s">
        <v>335</v>
      </c>
      <c r="F126" s="41">
        <v>23747.16</v>
      </c>
      <c r="G126" s="41">
        <v>18675.11</v>
      </c>
      <c r="H126" s="41">
        <v>5072.05</v>
      </c>
    </row>
    <row r="127" spans="2:8" x14ac:dyDescent="0.35">
      <c r="B127" s="37">
        <v>11779</v>
      </c>
      <c r="C127" s="46" t="str">
        <f>"SECRETARIA DE ESTADO DE CULTURA"</f>
        <v>SECRETARIA DE ESTADO DE CULTURA</v>
      </c>
      <c r="D127" s="31" t="s">
        <v>339</v>
      </c>
      <c r="E127" s="31" t="s">
        <v>36</v>
      </c>
      <c r="F127" s="41">
        <v>20480000</v>
      </c>
      <c r="G127" s="41">
        <v>18480000</v>
      </c>
      <c r="H127" s="41">
        <v>2000000</v>
      </c>
    </row>
    <row r="128" spans="2:8" x14ac:dyDescent="0.35">
      <c r="B128" s="37">
        <v>11787</v>
      </c>
      <c r="C128" s="46" t="str">
        <f>"CHUBB SEGUROS BRASIL S A"</f>
        <v>CHUBB SEGUROS BRASIL S A</v>
      </c>
      <c r="D128" s="31">
        <v>45813</v>
      </c>
      <c r="E128" s="31">
        <v>46543</v>
      </c>
      <c r="F128" s="41">
        <v>74400</v>
      </c>
      <c r="G128" s="41">
        <v>37200</v>
      </c>
      <c r="H128" s="41">
        <v>37200</v>
      </c>
    </row>
    <row r="129" spans="2:8" x14ac:dyDescent="0.35">
      <c r="B129" s="37">
        <v>11788</v>
      </c>
      <c r="C129" s="46" t="str">
        <f>"BVIX SEGURADORA SA"</f>
        <v>BVIX SEGURADORA SA</v>
      </c>
      <c r="D129" s="31" t="s">
        <v>343</v>
      </c>
      <c r="E129" s="31" t="s">
        <v>344</v>
      </c>
      <c r="F129" s="41">
        <v>31708.89</v>
      </c>
      <c r="G129" s="41">
        <v>31708.89</v>
      </c>
      <c r="H129" s="41">
        <v>0</v>
      </c>
    </row>
    <row r="130" spans="2:8" x14ac:dyDescent="0.35">
      <c r="B130" s="37">
        <v>11789</v>
      </c>
      <c r="C130" s="46" t="str">
        <f>"ASSOCIACAO  DOS AMIGOS DO CENTRO CULTURAL BELO  HORIZONTE"</f>
        <v>ASSOCIACAO  DOS AMIGOS DO CENTRO CULTURAL BELO  HORIZONTE</v>
      </c>
      <c r="D130" s="31" t="s">
        <v>346</v>
      </c>
      <c r="E130" s="31" t="s">
        <v>347</v>
      </c>
      <c r="F130" s="41">
        <v>3489011</v>
      </c>
      <c r="G130" s="41">
        <v>3489011</v>
      </c>
      <c r="H130" s="41">
        <v>0</v>
      </c>
    </row>
    <row r="131" spans="2:8" x14ac:dyDescent="0.35">
      <c r="B131" s="37">
        <v>11794</v>
      </c>
      <c r="C131" s="46" t="str">
        <f>"IMTRAFF CONSULTORIA E PROJETOS DE ENGENHARIA"</f>
        <v>IMTRAFF CONSULTORIA E PROJETOS DE ENGENHARIA</v>
      </c>
      <c r="D131" s="31" t="s">
        <v>737</v>
      </c>
      <c r="E131" s="31">
        <v>46274</v>
      </c>
      <c r="F131" s="41">
        <v>1326618.45</v>
      </c>
      <c r="G131" s="41">
        <v>1326618.45</v>
      </c>
      <c r="H131" s="41">
        <v>0</v>
      </c>
    </row>
    <row r="132" spans="2:8" x14ac:dyDescent="0.35">
      <c r="B132" s="37">
        <v>11795</v>
      </c>
      <c r="C132" s="46" t="str">
        <f>"GOLDMAN SACHS DO BRASIL BANCO MULTIPLO SA"</f>
        <v>GOLDMAN SACHS DO BRASIL BANCO MULTIPLO SA</v>
      </c>
      <c r="D132" s="31">
        <v>45996</v>
      </c>
      <c r="E132" s="31" t="s">
        <v>36</v>
      </c>
      <c r="F132" s="41">
        <v>23186137.239999998</v>
      </c>
      <c r="G132" s="41">
        <v>7009534.5099999998</v>
      </c>
      <c r="H132" s="41">
        <v>16176602.73</v>
      </c>
    </row>
    <row r="133" spans="2:8" x14ac:dyDescent="0.35">
      <c r="B133" s="37">
        <v>11805</v>
      </c>
      <c r="C133" s="46" t="str">
        <f>"TOLENTINO ADVOGADOS"</f>
        <v>TOLENTINO ADVOGADOS</v>
      </c>
      <c r="D133" s="31" t="s">
        <v>352</v>
      </c>
      <c r="E133" s="31" t="s">
        <v>36</v>
      </c>
      <c r="F133" s="41">
        <v>6058351</v>
      </c>
      <c r="G133" s="41">
        <v>5482157.9100000001</v>
      </c>
      <c r="H133" s="41">
        <v>576193.09</v>
      </c>
    </row>
    <row r="134" spans="2:8" ht="29" x14ac:dyDescent="0.35">
      <c r="B134" s="37">
        <v>11806</v>
      </c>
      <c r="C134" s="46" t="str">
        <f>"LICITAPRO CONSULTORIA EM LICITACOES E GESTAO DE CONTRATOS UNIPESSOAL LTDA"</f>
        <v>LICITAPRO CONSULTORIA EM LICITACOES E GESTAO DE CONTRATOS UNIPESSOAL LTDA</v>
      </c>
      <c r="D134" s="31" t="s">
        <v>354</v>
      </c>
      <c r="E134" s="31" t="s">
        <v>355</v>
      </c>
      <c r="F134" s="41">
        <v>470950</v>
      </c>
      <c r="G134" s="41">
        <v>0</v>
      </c>
      <c r="H134" s="41">
        <v>470950</v>
      </c>
    </row>
    <row r="135" spans="2:8" x14ac:dyDescent="0.35">
      <c r="B135" s="37">
        <v>11808</v>
      </c>
      <c r="C135" s="46" t="str">
        <f>"CONFEDERACAO BRASILEIRA DO DESPORTO ESCOLAR"</f>
        <v>CONFEDERACAO BRASILEIRA DO DESPORTO ESCOLAR</v>
      </c>
      <c r="D135" s="31" t="s">
        <v>357</v>
      </c>
      <c r="E135" s="31" t="s">
        <v>220</v>
      </c>
      <c r="F135" s="41">
        <v>20000000</v>
      </c>
      <c r="G135" s="41">
        <v>20000000</v>
      </c>
      <c r="H135" s="41">
        <v>0</v>
      </c>
    </row>
    <row r="136" spans="2:8" x14ac:dyDescent="0.35">
      <c r="B136" s="37">
        <v>11815</v>
      </c>
      <c r="C136" s="46" t="str">
        <f>"PRICEWATERHOUSECOOPERS AUDITORES INDEPENDENTES"</f>
        <v>PRICEWATERHOUSECOOPERS AUDITORES INDEPENDENTES</v>
      </c>
      <c r="D136" s="31" t="s">
        <v>359</v>
      </c>
      <c r="E136" s="31" t="s">
        <v>360</v>
      </c>
      <c r="F136" s="41">
        <v>4680898.2</v>
      </c>
      <c r="G136" s="41">
        <v>1520421.03</v>
      </c>
      <c r="H136" s="41">
        <v>3160477.17</v>
      </c>
    </row>
    <row r="137" spans="2:8" x14ac:dyDescent="0.35">
      <c r="B137" s="37">
        <v>11816</v>
      </c>
      <c r="C137" s="46" t="str">
        <f>"SANITOP COMERCIAL LTDA"</f>
        <v>SANITOP COMERCIAL LTDA</v>
      </c>
      <c r="D137" s="31" t="s">
        <v>364</v>
      </c>
      <c r="E137" s="31" t="s">
        <v>365</v>
      </c>
      <c r="F137" s="41">
        <v>34778.86</v>
      </c>
      <c r="G137" s="41">
        <v>12982.27</v>
      </c>
      <c r="H137" s="41">
        <v>21796.59</v>
      </c>
    </row>
    <row r="138" spans="2:8" x14ac:dyDescent="0.35">
      <c r="B138" s="37">
        <v>11817</v>
      </c>
      <c r="C138" s="46" t="str">
        <f>"AUSTRAL SEGURADORA S A"</f>
        <v>AUSTRAL SEGURADORA S A</v>
      </c>
      <c r="D138" s="31" t="s">
        <v>367</v>
      </c>
      <c r="E138" s="31" t="s">
        <v>368</v>
      </c>
      <c r="F138" s="41">
        <v>966000</v>
      </c>
      <c r="G138" s="41">
        <v>644000</v>
      </c>
      <c r="H138" s="41">
        <v>322000</v>
      </c>
    </row>
    <row r="139" spans="2:8" x14ac:dyDescent="0.35">
      <c r="B139" s="37">
        <v>11820</v>
      </c>
      <c r="C139" s="46" t="str">
        <f>"ATLAS GOVERNANCE TECNOLOGIA LTDA"</f>
        <v>ATLAS GOVERNANCE TECNOLOGIA LTDA</v>
      </c>
      <c r="D139" s="31" t="s">
        <v>359</v>
      </c>
      <c r="E139" s="31" t="s">
        <v>372</v>
      </c>
      <c r="F139" s="41">
        <v>440030.89</v>
      </c>
      <c r="G139" s="41">
        <v>173757.72</v>
      </c>
      <c r="H139" s="41">
        <v>266273.17</v>
      </c>
    </row>
    <row r="140" spans="2:8" x14ac:dyDescent="0.35">
      <c r="B140" s="37">
        <v>11821</v>
      </c>
      <c r="C140" s="46" t="str">
        <f>"90 TECNOLOGIA DA INFORMACAO LTDA"</f>
        <v>90 TECNOLOGIA DA INFORMACAO LTDA</v>
      </c>
      <c r="D140" s="31" t="s">
        <v>374</v>
      </c>
      <c r="E140" s="31" t="s">
        <v>368</v>
      </c>
      <c r="F140" s="41">
        <v>4956</v>
      </c>
      <c r="G140" s="41">
        <v>4956</v>
      </c>
      <c r="H140" s="41">
        <v>0</v>
      </c>
    </row>
    <row r="141" spans="2:8" x14ac:dyDescent="0.35">
      <c r="B141" s="37">
        <v>11822</v>
      </c>
      <c r="C141" s="46" t="str">
        <f>"90 TECNOLOGIA DA INFORMACAO LTDA"</f>
        <v>90 TECNOLOGIA DA INFORMACAO LTDA</v>
      </c>
      <c r="D141" s="31" t="s">
        <v>374</v>
      </c>
      <c r="E141" s="31" t="s">
        <v>368</v>
      </c>
      <c r="F141" s="41">
        <v>14250.82</v>
      </c>
      <c r="G141" s="41">
        <v>14250.82</v>
      </c>
      <c r="H141" s="41">
        <v>0</v>
      </c>
    </row>
    <row r="142" spans="2:8" x14ac:dyDescent="0.35">
      <c r="B142" s="37">
        <v>11829</v>
      </c>
      <c r="C142" s="46" t="str">
        <f>"FUNDACAO INSTITUTO DE PESQUISAS ECONOMICAS FIPE"</f>
        <v>FUNDACAO INSTITUTO DE PESQUISAS ECONOMICAS FIPE</v>
      </c>
      <c r="D142" s="31">
        <v>45723</v>
      </c>
      <c r="E142" s="31">
        <v>46092</v>
      </c>
      <c r="F142" s="41">
        <v>1677000</v>
      </c>
      <c r="G142" s="41">
        <v>1173900</v>
      </c>
      <c r="H142" s="41">
        <v>503100</v>
      </c>
    </row>
    <row r="143" spans="2:8" x14ac:dyDescent="0.35">
      <c r="B143" s="37">
        <v>11835</v>
      </c>
      <c r="C143" s="46" t="str">
        <f>"JOSE ARTHUR ROCHA ARAUJO  ME"</f>
        <v>JOSE ARTHUR ROCHA ARAUJO  ME</v>
      </c>
      <c r="D143" s="31">
        <v>45452</v>
      </c>
      <c r="E143" s="31">
        <v>46182</v>
      </c>
      <c r="F143" s="41">
        <v>752799.7</v>
      </c>
      <c r="G143" s="41">
        <v>0</v>
      </c>
      <c r="H143" s="41">
        <v>752799.7</v>
      </c>
    </row>
    <row r="144" spans="2:8" x14ac:dyDescent="0.35">
      <c r="B144" s="37">
        <v>11839</v>
      </c>
      <c r="C144" s="46" t="str">
        <f>"AGROMINAS COMERCIO DE PLANTAS LTDA"</f>
        <v>AGROMINAS COMERCIO DE PLANTAS LTDA</v>
      </c>
      <c r="D144" s="31" t="s">
        <v>382</v>
      </c>
      <c r="E144" s="31" t="s">
        <v>383</v>
      </c>
      <c r="F144" s="41">
        <v>344300</v>
      </c>
      <c r="G144" s="41">
        <v>0</v>
      </c>
      <c r="H144" s="41">
        <v>344300</v>
      </c>
    </row>
    <row r="145" spans="2:8" x14ac:dyDescent="0.35">
      <c r="B145" s="37">
        <v>11842</v>
      </c>
      <c r="C145" s="46" t="str">
        <f>"B3 S A   BRASIL BOLSA BALCAO"</f>
        <v>B3 S A   BRASIL BOLSA BALCAO</v>
      </c>
      <c r="D145" s="31">
        <v>45969</v>
      </c>
      <c r="E145" s="31">
        <v>47795</v>
      </c>
      <c r="F145" s="41">
        <v>3299766.59</v>
      </c>
      <c r="G145" s="41">
        <v>124967.7</v>
      </c>
      <c r="H145" s="41">
        <v>3174798.89</v>
      </c>
    </row>
    <row r="146" spans="2:8" x14ac:dyDescent="0.35">
      <c r="B146" s="37">
        <v>11853</v>
      </c>
      <c r="C146" s="46" t="str">
        <f>"INTERACT SOLUTIONS LTDA"</f>
        <v>INTERACT SOLUTIONS LTDA</v>
      </c>
      <c r="D146" s="31" t="s">
        <v>388</v>
      </c>
      <c r="E146" s="31" t="s">
        <v>389</v>
      </c>
      <c r="F146" s="41">
        <v>200912.99</v>
      </c>
      <c r="G146" s="41">
        <v>90457.83</v>
      </c>
      <c r="H146" s="41">
        <v>110455.16</v>
      </c>
    </row>
    <row r="147" spans="2:8" x14ac:dyDescent="0.35">
      <c r="B147" s="37">
        <v>11855</v>
      </c>
      <c r="C147" s="46" t="str">
        <f>"PRODEMGE  CIA DE TECNOL DA INFORMACAO DE MG"</f>
        <v>PRODEMGE  CIA DE TECNOL DA INFORMACAO DE MG</v>
      </c>
      <c r="D147" s="31" t="s">
        <v>391</v>
      </c>
      <c r="E147" s="31" t="s">
        <v>392</v>
      </c>
      <c r="F147" s="41">
        <v>567889.92000000004</v>
      </c>
      <c r="G147" s="41">
        <v>160816.37</v>
      </c>
      <c r="H147" s="41">
        <v>407073.55</v>
      </c>
    </row>
    <row r="148" spans="2:8" x14ac:dyDescent="0.35">
      <c r="B148" s="37">
        <v>11859</v>
      </c>
      <c r="C148" s="46" t="str">
        <f>"INSTITUTO REDE BRASIL DO PACTO GLOBAL"</f>
        <v>INSTITUTO REDE BRASIL DO PACTO GLOBAL</v>
      </c>
      <c r="D148" s="31">
        <v>45994</v>
      </c>
      <c r="E148" s="31">
        <v>46724</v>
      </c>
      <c r="F148" s="41">
        <v>5034.1499999999996</v>
      </c>
      <c r="G148" s="41">
        <v>0</v>
      </c>
      <c r="H148" s="41">
        <v>5034.1499999999996</v>
      </c>
    </row>
    <row r="149" spans="2:8" x14ac:dyDescent="0.35">
      <c r="B149" s="37">
        <v>11860</v>
      </c>
      <c r="C149" s="46" t="str">
        <f>"EXTINTORES MINAS GERAIS LTDA EPP"</f>
        <v>EXTINTORES MINAS GERAIS LTDA EPP</v>
      </c>
      <c r="D149" s="31" t="s">
        <v>397</v>
      </c>
      <c r="E149" s="31" t="s">
        <v>398</v>
      </c>
      <c r="F149" s="41">
        <v>87535</v>
      </c>
      <c r="G149" s="41">
        <v>18268.5</v>
      </c>
      <c r="H149" s="41">
        <v>69266.5</v>
      </c>
    </row>
    <row r="150" spans="2:8" x14ac:dyDescent="0.35">
      <c r="B150" s="37">
        <v>11861</v>
      </c>
      <c r="C150" s="46" t="str">
        <f>"SOLANO TECNOLOGIA EMPRESARIAL LTDA ME"</f>
        <v>SOLANO TECNOLOGIA EMPRESARIAL LTDA ME</v>
      </c>
      <c r="D150" s="31" t="s">
        <v>401</v>
      </c>
      <c r="E150" s="31" t="s">
        <v>402</v>
      </c>
      <c r="F150" s="41">
        <v>2960</v>
      </c>
      <c r="G150" s="41">
        <v>6200000</v>
      </c>
      <c r="H150" s="41">
        <v>2340</v>
      </c>
    </row>
    <row r="151" spans="2:8" x14ac:dyDescent="0.35">
      <c r="B151" s="37">
        <v>11862</v>
      </c>
      <c r="C151" s="46" t="str">
        <f>"PIRONTI ADVOGADOS E CONSULTORES ASSOCIADOS"</f>
        <v>PIRONTI ADVOGADOS E CONSULTORES ASSOCIADOS</v>
      </c>
      <c r="D151" s="31" t="s">
        <v>404</v>
      </c>
      <c r="E151" s="31" t="s">
        <v>405</v>
      </c>
      <c r="F151" s="41">
        <v>649800</v>
      </c>
      <c r="G151" s="41">
        <v>649800</v>
      </c>
      <c r="H151" s="41">
        <v>0</v>
      </c>
    </row>
    <row r="152" spans="2:8" x14ac:dyDescent="0.35">
      <c r="B152" s="37">
        <v>11863</v>
      </c>
      <c r="C152" s="46" t="str">
        <f>"INSTITUTO  MUNDU"</f>
        <v>INSTITUTO  MUNDU</v>
      </c>
      <c r="D152" s="31" t="s">
        <v>407</v>
      </c>
      <c r="E152" s="31" t="s">
        <v>36</v>
      </c>
      <c r="F152" s="41">
        <v>11821714.99</v>
      </c>
      <c r="G152" s="41">
        <v>11821714.99</v>
      </c>
      <c r="H152" s="41">
        <v>0</v>
      </c>
    </row>
    <row r="153" spans="2:8" x14ac:dyDescent="0.35">
      <c r="B153" s="37">
        <v>11868</v>
      </c>
      <c r="C153" s="46" t="str">
        <f>"EMPRESA DE PESQUISA AGROPECUARIA DE MINAS GERAIS"</f>
        <v>EMPRESA DE PESQUISA AGROPECUARIA DE MINAS GERAIS</v>
      </c>
      <c r="D153" s="31">
        <v>45878</v>
      </c>
      <c r="E153" s="31">
        <v>46608</v>
      </c>
      <c r="F153" s="41">
        <v>110677.2</v>
      </c>
      <c r="G153" s="41">
        <v>48990</v>
      </c>
      <c r="H153" s="41">
        <v>61687.199999999997</v>
      </c>
    </row>
    <row r="154" spans="2:8" x14ac:dyDescent="0.35">
      <c r="B154" s="37">
        <v>11870</v>
      </c>
      <c r="C154" s="46" t="str">
        <f>"PPN TECNOLOGIA E  INFORMATICA LTDA"</f>
        <v>PPN TECNOLOGIA E  INFORMATICA LTDA</v>
      </c>
      <c r="D154" s="31" t="s">
        <v>411</v>
      </c>
      <c r="E154" s="31" t="s">
        <v>412</v>
      </c>
      <c r="F154" s="41">
        <v>3455983.02</v>
      </c>
      <c r="G154" s="41">
        <v>3394663.02</v>
      </c>
      <c r="H154" s="41">
        <v>61320</v>
      </c>
    </row>
    <row r="155" spans="2:8" x14ac:dyDescent="0.35">
      <c r="B155" s="37">
        <v>11873</v>
      </c>
      <c r="C155" s="46" t="str">
        <f>"ALELO INSTITUICAO  DE PAGAMENTO SA"</f>
        <v>ALELO INSTITUICAO  DE PAGAMENTO SA</v>
      </c>
      <c r="D155" s="31">
        <v>45910</v>
      </c>
      <c r="E155" s="31">
        <v>46640</v>
      </c>
      <c r="F155" s="41">
        <v>14227318.199999999</v>
      </c>
      <c r="G155" s="41">
        <v>5018446.5599999996</v>
      </c>
      <c r="H155" s="41">
        <v>9208871.6400000006</v>
      </c>
    </row>
    <row r="156" spans="2:8" x14ac:dyDescent="0.35">
      <c r="B156" s="37">
        <v>11875</v>
      </c>
      <c r="C156" s="46" t="str">
        <f>"MINASBEV BEBIDAS DO BRASIL SA"</f>
        <v>MINASBEV BEBIDAS DO BRASIL SA</v>
      </c>
      <c r="D156" s="31" t="s">
        <v>414</v>
      </c>
      <c r="E156" s="31" t="s">
        <v>415</v>
      </c>
      <c r="F156" s="41">
        <v>5150.0789999999997</v>
      </c>
      <c r="G156" s="41">
        <v>0</v>
      </c>
      <c r="H156" s="41">
        <v>5150.0789999999997</v>
      </c>
    </row>
    <row r="157" spans="2:8" x14ac:dyDescent="0.35">
      <c r="B157" s="37">
        <v>11879</v>
      </c>
      <c r="C157" s="46" t="str">
        <f>"GUIDO A PALOMBA CLINICA MEDICA LTDA"</f>
        <v>GUIDO A PALOMBA CLINICA MEDICA LTDA</v>
      </c>
      <c r="D157" s="31" t="s">
        <v>417</v>
      </c>
      <c r="E157" s="31" t="s">
        <v>418</v>
      </c>
      <c r="F157" s="41">
        <v>129926.38</v>
      </c>
      <c r="G157" s="41">
        <v>129926.38</v>
      </c>
      <c r="H157" s="41">
        <v>0</v>
      </c>
    </row>
    <row r="158" spans="2:8" x14ac:dyDescent="0.35">
      <c r="B158" s="37">
        <v>11881</v>
      </c>
      <c r="C158" s="46" t="str">
        <f>"AACP SERVICO AMBIENTAL EIRELIME"</f>
        <v>AACP SERVICO AMBIENTAL EIRELIME</v>
      </c>
      <c r="D158" s="31" t="s">
        <v>420</v>
      </c>
      <c r="E158" s="31" t="s">
        <v>421</v>
      </c>
      <c r="F158" s="41">
        <v>33300</v>
      </c>
      <c r="G158" s="41">
        <v>12300</v>
      </c>
      <c r="H158" s="41">
        <v>21000</v>
      </c>
    </row>
    <row r="159" spans="2:8" x14ac:dyDescent="0.35">
      <c r="B159" s="37">
        <v>11883</v>
      </c>
      <c r="C159" s="46" t="str">
        <f>"FORTE SEGURANCA ELETRONICA LTDA"</f>
        <v>FORTE SEGURANCA ELETRONICA LTDA</v>
      </c>
      <c r="D159" s="31" t="s">
        <v>420</v>
      </c>
      <c r="E159" s="31" t="s">
        <v>423</v>
      </c>
      <c r="F159" s="41">
        <v>9360</v>
      </c>
      <c r="G159" s="41">
        <v>7800</v>
      </c>
      <c r="H159" s="41">
        <v>1560</v>
      </c>
    </row>
    <row r="160" spans="2:8" x14ac:dyDescent="0.35">
      <c r="B160" s="37">
        <v>11892</v>
      </c>
      <c r="C160" s="46" t="str">
        <f>"MED LEGAL SOLUCOES MEDICAS LTDA"</f>
        <v>MED LEGAL SOLUCOES MEDICAS LTDA</v>
      </c>
      <c r="D160" s="31">
        <v>45879</v>
      </c>
      <c r="E160" s="31">
        <v>46609</v>
      </c>
      <c r="F160" s="41">
        <v>6393.2</v>
      </c>
      <c r="G160" s="41">
        <v>6393.2</v>
      </c>
      <c r="H160" s="41">
        <v>0</v>
      </c>
    </row>
    <row r="161" spans="2:8" x14ac:dyDescent="0.35">
      <c r="B161" s="37">
        <v>11894</v>
      </c>
      <c r="C161" s="46" t="str">
        <f>"MALAB PRODUCOES LTDA"</f>
        <v>MALAB PRODUCOES LTDA</v>
      </c>
      <c r="D161" s="31" t="s">
        <v>426</v>
      </c>
      <c r="E161" s="31" t="s">
        <v>427</v>
      </c>
      <c r="F161" s="41">
        <v>550000</v>
      </c>
      <c r="G161" s="41">
        <v>550000</v>
      </c>
      <c r="H161" s="41">
        <v>0</v>
      </c>
    </row>
    <row r="162" spans="2:8" x14ac:dyDescent="0.35">
      <c r="B162" s="37">
        <v>11899</v>
      </c>
      <c r="C162" s="46" t="str">
        <f>"AGRO LIMPEZA E CONSERVACAO LTDA"</f>
        <v>AGRO LIMPEZA E CONSERVACAO LTDA</v>
      </c>
      <c r="D162" s="31" t="s">
        <v>426</v>
      </c>
      <c r="E162" s="31" t="s">
        <v>431</v>
      </c>
      <c r="F162" s="41">
        <v>3709000</v>
      </c>
      <c r="G162" s="41">
        <v>7526.12</v>
      </c>
      <c r="H162" s="41">
        <v>3701473.88</v>
      </c>
    </row>
    <row r="163" spans="2:8" x14ac:dyDescent="0.35">
      <c r="B163" s="37">
        <v>11900</v>
      </c>
      <c r="C163" s="46" t="str">
        <f>"IMAGEM GEOSISTEMAS  E  COMERCIO LTDA"</f>
        <v>IMAGEM GEOSISTEMAS  E  COMERCIO LTDA</v>
      </c>
      <c r="D163" s="31">
        <v>45819</v>
      </c>
      <c r="E163" s="31">
        <v>46153</v>
      </c>
      <c r="F163" s="41">
        <v>186341.34</v>
      </c>
      <c r="G163" s="41">
        <v>186341.34</v>
      </c>
      <c r="H163" s="41">
        <v>0</v>
      </c>
    </row>
    <row r="164" spans="2:8" x14ac:dyDescent="0.35">
      <c r="B164" s="37">
        <v>11902</v>
      </c>
      <c r="C164" s="46" t="str">
        <f>"ARAXA AMBIENTAL LTDA"</f>
        <v>ARAXA AMBIENTAL LTDA</v>
      </c>
      <c r="D164" s="31" t="s">
        <v>436</v>
      </c>
      <c r="E164" s="31" t="s">
        <v>332</v>
      </c>
      <c r="F164" s="41">
        <v>255780</v>
      </c>
      <c r="G164" s="41">
        <v>97720</v>
      </c>
      <c r="H164" s="41">
        <v>158060</v>
      </c>
    </row>
    <row r="165" spans="2:8" x14ac:dyDescent="0.35">
      <c r="B165" s="37">
        <v>11903</v>
      </c>
      <c r="C165" s="46" t="str">
        <f>"SGS GEOSOL LABORATORIOS LTDA"</f>
        <v>SGS GEOSOL LABORATORIOS LTDA</v>
      </c>
      <c r="D165" s="31">
        <v>45819</v>
      </c>
      <c r="E165" s="31">
        <v>46153</v>
      </c>
      <c r="F165" s="41">
        <v>2873959.74</v>
      </c>
      <c r="G165" s="41">
        <v>1687240.11</v>
      </c>
      <c r="H165" s="41">
        <v>1186719.6299999999</v>
      </c>
    </row>
    <row r="166" spans="2:8" x14ac:dyDescent="0.35">
      <c r="B166" s="37">
        <v>11904</v>
      </c>
      <c r="C166" s="46" t="str">
        <f>"TOTVS SA"</f>
        <v>TOTVS SA</v>
      </c>
      <c r="D166" s="31" t="s">
        <v>426</v>
      </c>
      <c r="E166" s="31" t="s">
        <v>439</v>
      </c>
      <c r="F166" s="41">
        <v>129798.64</v>
      </c>
      <c r="G166" s="41">
        <v>83698.64</v>
      </c>
      <c r="H166" s="41">
        <v>46100</v>
      </c>
    </row>
    <row r="167" spans="2:8" x14ac:dyDescent="0.35">
      <c r="B167" s="37">
        <v>11909</v>
      </c>
      <c r="C167" s="46" t="str">
        <f>"CEMIG DISTRIBUICAO S A"</f>
        <v>CEMIG DISTRIBUICAO S A</v>
      </c>
      <c r="D167" s="31" t="s">
        <v>442</v>
      </c>
      <c r="E167" s="31" t="s">
        <v>443</v>
      </c>
      <c r="F167" s="41">
        <v>337040</v>
      </c>
      <c r="G167" s="41">
        <v>84563.96</v>
      </c>
      <c r="H167" s="41">
        <v>252476.04</v>
      </c>
    </row>
    <row r="168" spans="2:8" x14ac:dyDescent="0.35">
      <c r="B168" s="37">
        <v>11910</v>
      </c>
      <c r="C168" s="46" t="str">
        <f>"CEMIG DISTRIBUICAO S A"</f>
        <v>CEMIG DISTRIBUICAO S A</v>
      </c>
      <c r="D168" s="31" t="s">
        <v>442</v>
      </c>
      <c r="E168" s="31" t="s">
        <v>443</v>
      </c>
      <c r="F168" s="41">
        <v>76000</v>
      </c>
      <c r="G168" s="41">
        <v>0</v>
      </c>
      <c r="H168" s="41">
        <v>76000</v>
      </c>
    </row>
    <row r="169" spans="2:8" x14ac:dyDescent="0.35">
      <c r="B169" s="37">
        <v>11911</v>
      </c>
      <c r="C169" s="46" t="str">
        <f>"CONTEGO CONSULTORIA LTDA"</f>
        <v>CONTEGO CONSULTORIA LTDA</v>
      </c>
      <c r="D169" s="31">
        <v>45758</v>
      </c>
      <c r="E169" s="31">
        <v>46488</v>
      </c>
      <c r="F169" s="41">
        <v>337658.19</v>
      </c>
      <c r="G169" s="41">
        <v>120750</v>
      </c>
      <c r="H169" s="41">
        <v>216908.19</v>
      </c>
    </row>
    <row r="170" spans="2:8" x14ac:dyDescent="0.35">
      <c r="B170" s="37">
        <v>11912</v>
      </c>
      <c r="C170" s="46" t="str">
        <f>"CASA DO TURISMO DE BELO HORIZONTE"</f>
        <v>CASA DO TURISMO DE BELO HORIZONTE</v>
      </c>
      <c r="D170" s="31" t="s">
        <v>448</v>
      </c>
      <c r="E170" s="31" t="s">
        <v>365</v>
      </c>
      <c r="F170" s="41">
        <v>200000</v>
      </c>
      <c r="G170" s="41">
        <v>143130.29999999999</v>
      </c>
      <c r="H170" s="41">
        <v>56869.7</v>
      </c>
    </row>
    <row r="171" spans="2:8" x14ac:dyDescent="0.35">
      <c r="B171" s="37">
        <v>11913</v>
      </c>
      <c r="C171" s="46" t="str">
        <f>"LP COMERCIO E DISTRIBUICAO LTDA"</f>
        <v>LP COMERCIO E DISTRIBUICAO LTDA</v>
      </c>
      <c r="D171" s="31">
        <v>45727</v>
      </c>
      <c r="E171" s="31">
        <v>46092</v>
      </c>
      <c r="F171" s="41">
        <v>34472.5</v>
      </c>
      <c r="G171" s="41">
        <v>33309.599999999999</v>
      </c>
      <c r="H171" s="41">
        <v>1162.9000000000001</v>
      </c>
    </row>
    <row r="172" spans="2:8" x14ac:dyDescent="0.35">
      <c r="B172" s="37">
        <v>11915</v>
      </c>
      <c r="C172" s="46" t="str">
        <f>"CENTRO DE BIOLOGIA EXPERIMENTAL OCEANUS LTDA"</f>
        <v>CENTRO DE BIOLOGIA EXPERIMENTAL OCEANUS LTDA</v>
      </c>
      <c r="D172" s="31" t="s">
        <v>453</v>
      </c>
      <c r="E172" s="31" t="s">
        <v>454</v>
      </c>
      <c r="F172" s="41">
        <v>216554.8</v>
      </c>
      <c r="G172" s="41">
        <v>85907.62</v>
      </c>
      <c r="H172" s="41">
        <v>130647.18</v>
      </c>
    </row>
    <row r="173" spans="2:8" x14ac:dyDescent="0.35">
      <c r="B173" s="37">
        <v>11922</v>
      </c>
      <c r="C173" s="46" t="str">
        <f>"CONSORCIO TPF IBI  ENEJOTA ENEJOTA   SPALDING  SERTORI"</f>
        <v>CONSORCIO TPF IBI  ENEJOTA ENEJOTA   SPALDING  SERTORI</v>
      </c>
      <c r="D173" s="31">
        <v>46002</v>
      </c>
      <c r="E173" s="31">
        <v>46732</v>
      </c>
      <c r="F173" s="41">
        <v>7522594.6699999999</v>
      </c>
      <c r="G173" s="41">
        <v>225677.84</v>
      </c>
      <c r="H173" s="41">
        <v>7296916.8300000001</v>
      </c>
    </row>
    <row r="174" spans="2:8" x14ac:dyDescent="0.35">
      <c r="B174" s="37">
        <v>11925</v>
      </c>
      <c r="C174" s="46" t="str">
        <f>"CONSORCIO ENGECORPS MOYSES E PIRES ALVAREZ E MARSAL PLENA"</f>
        <v>CONSORCIO ENGECORPS MOYSES E PIRES ALVAREZ E MARSAL PLENA</v>
      </c>
      <c r="D174" s="31" t="s">
        <v>459</v>
      </c>
      <c r="E174" s="31" t="s">
        <v>117</v>
      </c>
      <c r="F174" s="41">
        <v>6175950</v>
      </c>
      <c r="G174" s="41">
        <v>0</v>
      </c>
      <c r="H174" s="41">
        <v>6175950</v>
      </c>
    </row>
    <row r="175" spans="2:8" x14ac:dyDescent="0.35">
      <c r="B175" s="37">
        <v>11928</v>
      </c>
      <c r="C175" s="46" t="str">
        <f>"NECTA INOVA CONTEUDOS ESTRATEGICOS LTDA"</f>
        <v>NECTA INOVA CONTEUDOS ESTRATEGICOS LTDA</v>
      </c>
      <c r="D175" s="31" t="s">
        <v>463</v>
      </c>
      <c r="E175" s="31" t="s">
        <v>464</v>
      </c>
      <c r="F175" s="41">
        <v>300000</v>
      </c>
      <c r="G175" s="41">
        <v>298480</v>
      </c>
      <c r="H175" s="41">
        <v>1520</v>
      </c>
    </row>
    <row r="176" spans="2:8" x14ac:dyDescent="0.35">
      <c r="B176" s="37">
        <v>11929</v>
      </c>
      <c r="C176" s="46" t="str">
        <f>"MS TRADUCOES LTDA"</f>
        <v>MS TRADUCOES LTDA</v>
      </c>
      <c r="D176" s="31" t="s">
        <v>466</v>
      </c>
      <c r="E176" s="31" t="s">
        <v>467</v>
      </c>
      <c r="F176" s="41">
        <v>45000</v>
      </c>
      <c r="G176" s="41">
        <v>0</v>
      </c>
      <c r="H176" s="41">
        <v>45000</v>
      </c>
    </row>
    <row r="177" spans="2:8" x14ac:dyDescent="0.35">
      <c r="B177" s="37">
        <v>11930</v>
      </c>
      <c r="C177" s="46" t="str">
        <f>"BASECAMP TREINAMENTO LTDA"</f>
        <v>BASECAMP TREINAMENTO LTDA</v>
      </c>
      <c r="D177" s="31" t="s">
        <v>471</v>
      </c>
      <c r="E177" s="31" t="s">
        <v>106</v>
      </c>
      <c r="F177" s="41">
        <v>700000</v>
      </c>
      <c r="G177" s="41">
        <v>525000</v>
      </c>
      <c r="H177" s="41">
        <v>175000</v>
      </c>
    </row>
    <row r="178" spans="2:8" x14ac:dyDescent="0.35">
      <c r="B178" s="37">
        <v>11931</v>
      </c>
      <c r="C178" s="46" t="str">
        <f>"SOLANO TECNOLOGIA EMPRESARIAL LTDA ME"</f>
        <v>SOLANO TECNOLOGIA EMPRESARIAL LTDA ME</v>
      </c>
      <c r="D178" s="31" t="s">
        <v>436</v>
      </c>
      <c r="E178" s="31" t="s">
        <v>475</v>
      </c>
      <c r="F178" s="41">
        <v>6500</v>
      </c>
      <c r="G178" s="41">
        <v>4667.5</v>
      </c>
      <c r="H178" s="41">
        <v>1832.5</v>
      </c>
    </row>
    <row r="179" spans="2:8" x14ac:dyDescent="0.35">
      <c r="B179" s="37">
        <v>11932</v>
      </c>
      <c r="C179" s="46" t="str">
        <f>"CEMIG DISTRIBUICAO S A"</f>
        <v>CEMIG DISTRIBUICAO S A</v>
      </c>
      <c r="D179" s="31" t="s">
        <v>477</v>
      </c>
      <c r="E179" s="31" t="s">
        <v>478</v>
      </c>
      <c r="F179" s="41">
        <v>2560582.56</v>
      </c>
      <c r="G179" s="41">
        <v>789496.29</v>
      </c>
      <c r="H179" s="41">
        <v>1771086.27</v>
      </c>
    </row>
    <row r="180" spans="2:8" x14ac:dyDescent="0.35">
      <c r="B180" s="37">
        <v>11933</v>
      </c>
      <c r="C180" s="46" t="str">
        <f>"AGUA MINERAL NATURAL FONTE E VIDA LTDA"</f>
        <v>AGUA MINERAL NATURAL FONTE E VIDA LTDA</v>
      </c>
      <c r="D180" s="31" t="s">
        <v>482</v>
      </c>
      <c r="E180" s="31" t="s">
        <v>211</v>
      </c>
      <c r="F180" s="41">
        <v>12300</v>
      </c>
      <c r="G180" s="41">
        <v>7483.76</v>
      </c>
      <c r="H180" s="41">
        <v>4816.24</v>
      </c>
    </row>
    <row r="181" spans="2:8" x14ac:dyDescent="0.35">
      <c r="B181" s="37">
        <v>11934</v>
      </c>
      <c r="C181" s="46" t="str">
        <f>"SWILE DO BRASIL SA"</f>
        <v>SWILE DO BRASIL SA</v>
      </c>
      <c r="D181" s="31" t="s">
        <v>486</v>
      </c>
      <c r="E181" s="31" t="s">
        <v>487</v>
      </c>
      <c r="F181" s="41">
        <v>227504.96</v>
      </c>
      <c r="G181" s="41">
        <v>218524.57</v>
      </c>
      <c r="H181" s="41">
        <v>8980.39</v>
      </c>
    </row>
    <row r="182" spans="2:8" x14ac:dyDescent="0.35">
      <c r="B182" s="37">
        <v>11938</v>
      </c>
      <c r="C182" s="46" t="str">
        <f>"CONSORCIO CEMIG SIM  GD III"</f>
        <v>CONSORCIO CEMIG SIM  GD III</v>
      </c>
      <c r="D182" s="31" t="s">
        <v>440</v>
      </c>
      <c r="E182" s="31" t="s">
        <v>489</v>
      </c>
      <c r="F182" s="41">
        <v>789833.35</v>
      </c>
      <c r="G182" s="41">
        <v>46644.46</v>
      </c>
      <c r="H182" s="41">
        <v>743188.89</v>
      </c>
    </row>
    <row r="183" spans="2:8" x14ac:dyDescent="0.35">
      <c r="B183" s="37">
        <v>11939</v>
      </c>
      <c r="C183" s="46" t="str">
        <f>"LIGA SUL MINEIRA DE DESPORTOS"</f>
        <v>LIGA SUL MINEIRA DE DESPORTOS</v>
      </c>
      <c r="D183" s="31" t="s">
        <v>491</v>
      </c>
      <c r="E183" s="31" t="s">
        <v>78</v>
      </c>
      <c r="F183" s="41">
        <v>99920</v>
      </c>
      <c r="G183" s="41">
        <v>99920</v>
      </c>
      <c r="H183" s="41">
        <v>0</v>
      </c>
    </row>
    <row r="184" spans="2:8" x14ac:dyDescent="0.35">
      <c r="B184" s="37">
        <v>11942</v>
      </c>
      <c r="C184" s="46" t="str">
        <f>"CERES INTELIGENCIA FINANCEIRA LTDA  EPP"</f>
        <v>CERES INTELIGENCIA FINANCEIRA LTDA  EPP</v>
      </c>
      <c r="D184" s="31">
        <v>46143</v>
      </c>
      <c r="E184" s="31">
        <v>46123</v>
      </c>
      <c r="F184" s="41">
        <v>752000</v>
      </c>
      <c r="G184" s="41">
        <v>300800</v>
      </c>
      <c r="H184" s="41">
        <v>451200</v>
      </c>
    </row>
    <row r="185" spans="2:8" ht="29" x14ac:dyDescent="0.35">
      <c r="B185" s="37">
        <v>11945</v>
      </c>
      <c r="C185" s="46" t="str">
        <f>"ASSOCIACAO ESPORTIVA DOS MUNICIPIOS DO SUL E SUDOESTE DE MINAS GERAIS  ASSESMIG"</f>
        <v>ASSOCIACAO ESPORTIVA DOS MUNICIPIOS DO SUL E SUDOESTE DE MINAS GERAIS  ASSESMIG</v>
      </c>
      <c r="D185" s="31" t="s">
        <v>499</v>
      </c>
      <c r="E185" s="31" t="s">
        <v>498</v>
      </c>
      <c r="F185" s="41">
        <v>100000</v>
      </c>
      <c r="G185" s="41">
        <v>100000</v>
      </c>
      <c r="H185" s="41">
        <v>0</v>
      </c>
    </row>
    <row r="186" spans="2:8" x14ac:dyDescent="0.35">
      <c r="B186" s="37">
        <v>11946</v>
      </c>
      <c r="C186" s="46" t="str">
        <f>"CLUBE RECREATIVO JUVENTUDE ALFENAS"</f>
        <v>CLUBE RECREATIVO JUVENTUDE ALFENAS</v>
      </c>
      <c r="D186" s="31" t="s">
        <v>497</v>
      </c>
      <c r="E186" s="31" t="s">
        <v>498</v>
      </c>
      <c r="F186" s="41">
        <v>99677.14</v>
      </c>
      <c r="G186" s="41">
        <v>99677.14</v>
      </c>
      <c r="H186" s="41">
        <v>0</v>
      </c>
    </row>
    <row r="187" spans="2:8" x14ac:dyDescent="0.35">
      <c r="B187" s="37">
        <v>11949</v>
      </c>
      <c r="C187" s="46" t="str">
        <f>"MINHA BIBLIOTECA LTDA"</f>
        <v>MINHA BIBLIOTECA LTDA</v>
      </c>
      <c r="D187" s="31" t="s">
        <v>503</v>
      </c>
      <c r="E187" s="31">
        <v>47059</v>
      </c>
      <c r="F187" s="41">
        <v>78960</v>
      </c>
      <c r="G187" s="41">
        <v>39480</v>
      </c>
      <c r="H187" s="41">
        <v>39480</v>
      </c>
    </row>
    <row r="188" spans="2:8" x14ac:dyDescent="0.35">
      <c r="B188" s="37">
        <v>11950</v>
      </c>
      <c r="C188" s="46" t="str">
        <f>"PREFEITURA MUNICIPAL DE FORMIGA"</f>
        <v>PREFEITURA MUNICIPAL DE FORMIGA</v>
      </c>
      <c r="D188" s="31" t="s">
        <v>503</v>
      </c>
      <c r="E188" s="31" t="s">
        <v>296</v>
      </c>
      <c r="F188" s="41">
        <v>100000</v>
      </c>
      <c r="G188" s="41">
        <v>100000</v>
      </c>
      <c r="H188" s="41">
        <v>0</v>
      </c>
    </row>
    <row r="189" spans="2:8" x14ac:dyDescent="0.35">
      <c r="B189" s="37">
        <v>11951</v>
      </c>
      <c r="C189" s="46" t="str">
        <f>"EDUCARE FORMACAO DESENVOLVIMENTO LTDA"</f>
        <v>EDUCARE FORMACAO DESENVOLVIMENTO LTDA</v>
      </c>
      <c r="D189" s="31" t="s">
        <v>503</v>
      </c>
      <c r="E189" s="31" t="s">
        <v>505</v>
      </c>
      <c r="F189" s="41">
        <v>2585883.88</v>
      </c>
      <c r="G189" s="41">
        <v>2585883.88</v>
      </c>
      <c r="H189" s="41">
        <v>0</v>
      </c>
    </row>
    <row r="190" spans="2:8" x14ac:dyDescent="0.35">
      <c r="B190" s="37">
        <v>11952</v>
      </c>
      <c r="C190" s="46" t="str">
        <f>"AMA ORGANIZACAO DA SOCIEDADE CIVIL"</f>
        <v>AMA ORGANIZACAO DA SOCIEDADE CIVIL</v>
      </c>
      <c r="D190" s="31" t="s">
        <v>503</v>
      </c>
      <c r="E190" s="31" t="s">
        <v>220</v>
      </c>
      <c r="F190" s="41">
        <v>3198771.2850000001</v>
      </c>
      <c r="G190" s="41">
        <v>3198771.28</v>
      </c>
      <c r="H190" s="41">
        <v>5.0000000000000001E-3</v>
      </c>
    </row>
    <row r="191" spans="2:8" ht="29" x14ac:dyDescent="0.35">
      <c r="B191" s="37">
        <v>11954</v>
      </c>
      <c r="C191" s="46" t="str">
        <f>"FEDERACAO DAS INSTANCIAS DE GOVERNANCA REGIONAL DE TURISMO DO ESTADO DE MINAS GE"</f>
        <v>FEDERACAO DAS INSTANCIAS DE GOVERNANCA REGIONAL DE TURISMO DO ESTADO DE MINAS GE</v>
      </c>
      <c r="D191" s="31" t="s">
        <v>503</v>
      </c>
      <c r="E191" s="31" t="s">
        <v>220</v>
      </c>
      <c r="F191" s="41">
        <v>5086606.4022000004</v>
      </c>
      <c r="G191" s="41">
        <v>5086471.0999999996</v>
      </c>
      <c r="H191" s="41">
        <v>1353022</v>
      </c>
    </row>
    <row r="192" spans="2:8" x14ac:dyDescent="0.35">
      <c r="B192" s="37">
        <v>11955</v>
      </c>
      <c r="C192" s="46" t="str">
        <f>"TECNETWORKING SERVICOS E SOLUCOES EM TI LTDA"</f>
        <v>TECNETWORKING SERVICOS E SOLUCOES EM TI LTDA</v>
      </c>
      <c r="D192" s="31" t="s">
        <v>509</v>
      </c>
      <c r="E192" s="31" t="s">
        <v>515</v>
      </c>
      <c r="F192" s="41">
        <v>538000</v>
      </c>
      <c r="G192" s="41">
        <v>486180</v>
      </c>
      <c r="H192" s="41">
        <v>51820</v>
      </c>
    </row>
    <row r="193" spans="2:8" x14ac:dyDescent="0.35">
      <c r="B193" s="37">
        <v>11956</v>
      </c>
      <c r="C193" s="46" t="str">
        <f>"GRID  ENERGIA SERVICOS E SOLUCOES LTDA"</f>
        <v>GRID  ENERGIA SERVICOS E SOLUCOES LTDA</v>
      </c>
      <c r="D193" s="31">
        <v>46120</v>
      </c>
      <c r="E193" s="31">
        <v>46485</v>
      </c>
      <c r="F193" s="41">
        <v>4800</v>
      </c>
      <c r="G193" s="41">
        <v>0</v>
      </c>
      <c r="H193" s="41">
        <v>4800</v>
      </c>
    </row>
    <row r="194" spans="2:8" x14ac:dyDescent="0.35">
      <c r="B194" s="37">
        <v>11957</v>
      </c>
      <c r="C194" s="46" t="str">
        <f>"DRIVE A INFORMATICA LTDA"</f>
        <v>DRIVE A INFORMATICA LTDA</v>
      </c>
      <c r="D194" s="31">
        <v>46143</v>
      </c>
      <c r="E194" s="31">
        <v>46508</v>
      </c>
      <c r="F194" s="41">
        <v>2070000</v>
      </c>
      <c r="G194" s="41">
        <v>0</v>
      </c>
      <c r="H194" s="41">
        <v>2070000</v>
      </c>
    </row>
    <row r="195" spans="2:8" x14ac:dyDescent="0.35">
      <c r="B195" s="37">
        <v>11958</v>
      </c>
      <c r="C195" s="46" t="str">
        <f>"INSTITUTO CULTURAL FILARMONICA"</f>
        <v>INSTITUTO CULTURAL FILARMONICA</v>
      </c>
      <c r="D195" s="31" t="s">
        <v>509</v>
      </c>
      <c r="E195" s="31" t="s">
        <v>517</v>
      </c>
      <c r="F195" s="41">
        <v>700000</v>
      </c>
      <c r="G195" s="41">
        <v>700000</v>
      </c>
      <c r="H195" s="41">
        <v>0</v>
      </c>
    </row>
    <row r="196" spans="2:8" x14ac:dyDescent="0.35">
      <c r="B196" s="37">
        <v>11965</v>
      </c>
      <c r="C196" s="46" t="str">
        <f>"INTERNATIONAL FINANCE CORPORATION"</f>
        <v>INTERNATIONAL FINANCE CORPORATION</v>
      </c>
      <c r="D196" s="31">
        <v>46083</v>
      </c>
      <c r="E196" s="31">
        <v>47179</v>
      </c>
      <c r="F196" s="41">
        <v>29396830.030000001</v>
      </c>
      <c r="G196" s="41">
        <v>2057778.13</v>
      </c>
      <c r="H196" s="41">
        <v>27339051.899999999</v>
      </c>
    </row>
    <row r="197" spans="2:8" x14ac:dyDescent="0.35">
      <c r="B197" s="37">
        <v>11972</v>
      </c>
      <c r="C197" s="46" t="str">
        <f>"ABC EMPREENDIMENTOS SEGURANCA E INCENDIO LTDA"</f>
        <v>ABC EMPREENDIMENTOS SEGURANCA E INCENDIO LTDA</v>
      </c>
      <c r="D197" s="31" t="s">
        <v>522</v>
      </c>
      <c r="E197" s="31" t="s">
        <v>319</v>
      </c>
      <c r="F197" s="41">
        <v>2386283.6</v>
      </c>
      <c r="G197" s="41">
        <v>0</v>
      </c>
      <c r="H197" s="41">
        <v>2386283.6</v>
      </c>
    </row>
    <row r="198" spans="2:8" x14ac:dyDescent="0.35">
      <c r="B198" s="37">
        <v>11974</v>
      </c>
      <c r="C198" s="46" t="str">
        <f>"MARCIO FERREIRA E CIA LTDA"</f>
        <v>MARCIO FERREIRA E CIA LTDA</v>
      </c>
      <c r="D198" s="31">
        <v>46083</v>
      </c>
      <c r="E198" s="31">
        <v>46448</v>
      </c>
      <c r="F198" s="41">
        <v>6930</v>
      </c>
      <c r="G198" s="41">
        <v>3582</v>
      </c>
      <c r="H198" s="41">
        <v>3348</v>
      </c>
    </row>
    <row r="199" spans="2:8" x14ac:dyDescent="0.35">
      <c r="B199" s="37">
        <v>11976</v>
      </c>
      <c r="C199" s="46" t="str">
        <f>"CETEST MINAS ENGENHARIA E SERVICOS S A"</f>
        <v>CETEST MINAS ENGENHARIA E SERVICOS S A</v>
      </c>
      <c r="D199" s="31">
        <v>46083</v>
      </c>
      <c r="E199" s="31" t="s">
        <v>281</v>
      </c>
      <c r="F199" s="41">
        <v>1404180.66</v>
      </c>
      <c r="G199" s="41">
        <v>1391181.53</v>
      </c>
      <c r="H199" s="41">
        <v>12999.13</v>
      </c>
    </row>
    <row r="200" spans="2:8" x14ac:dyDescent="0.35">
      <c r="B200" s="37">
        <v>11977</v>
      </c>
      <c r="C200" s="46" t="str">
        <f>"CONSORCIO OTIMO DE BILHETAGEM ELETRONICA"</f>
        <v>CONSORCIO OTIMO DE BILHETAGEM ELETRONICA</v>
      </c>
      <c r="D200" s="31" t="s">
        <v>527</v>
      </c>
      <c r="E200" s="31" t="s">
        <v>528</v>
      </c>
      <c r="F200" s="41">
        <v>1239.32</v>
      </c>
      <c r="G200" s="41">
        <v>609800</v>
      </c>
      <c r="H200" s="41">
        <v>1178.3399999999999</v>
      </c>
    </row>
    <row r="201" spans="2:8" x14ac:dyDescent="0.35">
      <c r="B201" s="37">
        <v>11978</v>
      </c>
      <c r="C201" s="46" t="str">
        <f>"FEDERACAO DAS INDUSTRIAS DO ESTADO DE MINAS GERAIS"</f>
        <v>FEDERACAO DAS INDUSTRIAS DO ESTADO DE MINAS GERAIS</v>
      </c>
      <c r="D201" s="31">
        <v>46145</v>
      </c>
      <c r="E201" s="31">
        <v>46849</v>
      </c>
      <c r="F201" s="41">
        <v>39600000</v>
      </c>
      <c r="G201" s="41">
        <v>0</v>
      </c>
      <c r="H201" s="41">
        <v>39600000</v>
      </c>
    </row>
    <row r="202" spans="2:8" x14ac:dyDescent="0.35">
      <c r="B202" s="37">
        <v>11980</v>
      </c>
      <c r="C202" s="46" t="str">
        <f>"ALSB COMERCIO E SERVICOS LTDA"</f>
        <v>ALSB COMERCIO E SERVICOS LTDA</v>
      </c>
      <c r="D202" s="31">
        <v>46298</v>
      </c>
      <c r="E202" s="31">
        <v>46663</v>
      </c>
      <c r="F202" s="41">
        <v>94752</v>
      </c>
      <c r="G202" s="41">
        <v>0</v>
      </c>
      <c r="H202" s="41">
        <v>94752</v>
      </c>
    </row>
    <row r="203" spans="2:8" x14ac:dyDescent="0.35">
      <c r="B203" s="37">
        <v>11981</v>
      </c>
      <c r="C203" s="46" t="str">
        <f>"NECTA INOVA CONTEUDOS ESTRATEGICOS LTDA"</f>
        <v>NECTA INOVA CONTEUDOS ESTRATEGICOS LTDA</v>
      </c>
      <c r="D203" s="31" t="s">
        <v>532</v>
      </c>
      <c r="E203" s="31" t="s">
        <v>533</v>
      </c>
      <c r="F203" s="41">
        <v>265500</v>
      </c>
      <c r="G203" s="41">
        <v>265500</v>
      </c>
      <c r="H203" s="41">
        <v>0</v>
      </c>
    </row>
    <row r="204" spans="2:8" x14ac:dyDescent="0.35">
      <c r="B204" s="37">
        <v>11982</v>
      </c>
      <c r="C204" s="46" t="str">
        <f>"MORDOR INTELLIGENCE PVT LTD"</f>
        <v>MORDOR INTELLIGENCE PVT LTD</v>
      </c>
      <c r="D204" s="31">
        <v>46358</v>
      </c>
      <c r="E204" s="31">
        <v>46723</v>
      </c>
      <c r="F204" s="41">
        <v>57000</v>
      </c>
      <c r="G204" s="41">
        <v>47490.5</v>
      </c>
      <c r="H204" s="41">
        <v>9509.5</v>
      </c>
    </row>
    <row r="205" spans="2:8" x14ac:dyDescent="0.35">
      <c r="B205" s="37">
        <v>11983</v>
      </c>
      <c r="C205" s="46" t="str">
        <f>"FUNDACAO INSTITUTO DE PESQUISAS ECONOMICAS FIPE"</f>
        <v>FUNDACAO INSTITUTO DE PESQUISAS ECONOMICAS FIPE</v>
      </c>
      <c r="D205" s="31">
        <v>46084</v>
      </c>
      <c r="E205" s="31">
        <v>46815</v>
      </c>
      <c r="F205" s="41">
        <v>5215427</v>
      </c>
      <c r="G205" s="41">
        <v>670182.37</v>
      </c>
      <c r="H205" s="41">
        <v>4545244.63</v>
      </c>
    </row>
    <row r="206" spans="2:8" x14ac:dyDescent="0.35">
      <c r="B206" s="37">
        <v>11984</v>
      </c>
      <c r="C206" s="46" t="str">
        <f>"EMPRESA MUNICIPAL DE TURISMO  BELOTUR"</f>
        <v>EMPRESA MUNICIPAL DE TURISMO  BELOTUR</v>
      </c>
      <c r="D206" s="31" t="s">
        <v>540</v>
      </c>
      <c r="E206" s="31" t="s">
        <v>541</v>
      </c>
      <c r="F206" s="41">
        <v>500000</v>
      </c>
      <c r="G206" s="41">
        <v>500000</v>
      </c>
      <c r="H206" s="41">
        <v>0</v>
      </c>
    </row>
    <row r="207" spans="2:8" x14ac:dyDescent="0.35">
      <c r="B207" s="37">
        <v>11985</v>
      </c>
      <c r="C207" s="46" t="str">
        <f>"FUNDACAO INSTITUTO DE PESQUISAS ECONOMICAS FIPE"</f>
        <v>FUNDACAO INSTITUTO DE PESQUISAS ECONOMICAS FIPE</v>
      </c>
      <c r="D207" s="31" t="s">
        <v>543</v>
      </c>
      <c r="E207" s="31" t="s">
        <v>544</v>
      </c>
      <c r="F207" s="41">
        <v>72800</v>
      </c>
      <c r="G207" s="41">
        <v>0</v>
      </c>
      <c r="H207" s="41">
        <v>72800</v>
      </c>
    </row>
    <row r="208" spans="2:8" x14ac:dyDescent="0.35">
      <c r="B208" s="37">
        <v>11987</v>
      </c>
      <c r="C208" s="46" t="str">
        <f>"DORIA ADMINISTRACAO E EVENTOS LTDA"</f>
        <v>DORIA ADMINISTRACAO E EVENTOS LTDA</v>
      </c>
      <c r="D208" s="31">
        <v>46361</v>
      </c>
      <c r="E208" s="31">
        <v>46337</v>
      </c>
      <c r="F208" s="41">
        <v>560000</v>
      </c>
      <c r="G208" s="41">
        <v>560000</v>
      </c>
      <c r="H208" s="41">
        <v>0</v>
      </c>
    </row>
    <row r="209" spans="2:8" x14ac:dyDescent="0.35">
      <c r="B209" s="37">
        <v>11988</v>
      </c>
      <c r="C209" s="46" t="str">
        <f>"SERVICO SOCIAL AUTONOMO"</f>
        <v>SERVICO SOCIAL AUTONOMO</v>
      </c>
      <c r="D209" s="31" t="s">
        <v>547</v>
      </c>
      <c r="E209" s="31" t="s">
        <v>548</v>
      </c>
      <c r="F209" s="41">
        <v>1000000</v>
      </c>
      <c r="G209" s="41">
        <v>1000000</v>
      </c>
      <c r="H209" s="41">
        <v>0</v>
      </c>
    </row>
    <row r="210" spans="2:8" x14ac:dyDescent="0.35">
      <c r="B210" s="37">
        <v>11989</v>
      </c>
      <c r="C210" s="46" t="str">
        <f>"LUMENS ENGENHARIA LTDA"</f>
        <v>LUMENS ENGENHARIA LTDA</v>
      </c>
      <c r="D210" s="31">
        <v>46176</v>
      </c>
      <c r="E210" s="31">
        <v>46390</v>
      </c>
      <c r="F210" s="41">
        <v>1680000</v>
      </c>
      <c r="G210" s="41">
        <v>173590.8</v>
      </c>
      <c r="H210" s="41">
        <v>1506409.2</v>
      </c>
    </row>
    <row r="211" spans="2:8" ht="29" x14ac:dyDescent="0.35">
      <c r="B211" s="37">
        <v>11991</v>
      </c>
      <c r="C211" s="46" t="str">
        <f>"ASSOCIACAO  DOS REVENDEDORES DE VEICULOS NO ESTADO DE MINAS  GERAIS"</f>
        <v>ASSOCIACAO  DOS REVENDEDORES DE VEICULOS NO ESTADO DE MINAS  GERAIS</v>
      </c>
      <c r="D211" s="31" t="s">
        <v>551</v>
      </c>
      <c r="E211" s="31" t="s">
        <v>552</v>
      </c>
      <c r="F211" s="41">
        <v>120000</v>
      </c>
      <c r="G211" s="41">
        <v>120000</v>
      </c>
      <c r="H211" s="41">
        <v>0</v>
      </c>
    </row>
    <row r="212" spans="2:8" x14ac:dyDescent="0.35">
      <c r="B212" s="37">
        <v>11992</v>
      </c>
      <c r="C212" s="46" t="str">
        <f>"L3 SOFTWARE LTDA"</f>
        <v>L3 SOFTWARE LTDA</v>
      </c>
      <c r="D212" s="31">
        <v>46329</v>
      </c>
      <c r="E212" s="31">
        <v>46694</v>
      </c>
      <c r="F212" s="41">
        <v>300000</v>
      </c>
      <c r="G212" s="41">
        <v>0</v>
      </c>
      <c r="H212" s="41">
        <v>300000</v>
      </c>
    </row>
    <row r="213" spans="2:8" ht="29" x14ac:dyDescent="0.35">
      <c r="B213" s="37">
        <v>11993</v>
      </c>
      <c r="C213" s="46" t="str">
        <f>"PEIXE SP ASSOCIACAOO DE PSICULTORES EM AGUAS PAULISTAS E DA UNIAO"</f>
        <v>PEIXE SP ASSOCIACAOO DE PSICULTORES EM AGUAS PAULISTAS E DA UNIAO</v>
      </c>
      <c r="D213" s="31">
        <v>46299</v>
      </c>
      <c r="E213" s="31">
        <v>46368</v>
      </c>
      <c r="F213" s="41">
        <v>100000</v>
      </c>
      <c r="G213" s="41">
        <v>50000</v>
      </c>
      <c r="H213" s="41">
        <v>50000</v>
      </c>
    </row>
    <row r="214" spans="2:8" x14ac:dyDescent="0.35">
      <c r="B214" s="37">
        <v>11994</v>
      </c>
      <c r="C214" s="46" t="str">
        <f>"CONSORCIO OPERACIONAL DO SISTEMA BILHETAGEM"</f>
        <v>CONSORCIO OPERACIONAL DO SISTEMA BILHETAGEM</v>
      </c>
      <c r="D214" s="31" t="s">
        <v>527</v>
      </c>
      <c r="E214" s="31" t="s">
        <v>27</v>
      </c>
      <c r="F214" s="41">
        <v>5831200</v>
      </c>
      <c r="G214" s="41">
        <v>2415300</v>
      </c>
      <c r="H214" s="41">
        <v>3415900</v>
      </c>
    </row>
    <row r="215" spans="2:8" x14ac:dyDescent="0.35">
      <c r="B215" s="37">
        <v>11996</v>
      </c>
      <c r="C215" s="46" t="str">
        <f>"L3 SOFTWARE LTDA"</f>
        <v>L3 SOFTWARE LTDA</v>
      </c>
      <c r="D215" s="31" t="s">
        <v>555</v>
      </c>
      <c r="E215" s="31" t="s">
        <v>556</v>
      </c>
      <c r="F215" s="41">
        <v>300000</v>
      </c>
      <c r="G215" s="41">
        <v>225000</v>
      </c>
      <c r="H215" s="41">
        <v>75000</v>
      </c>
    </row>
    <row r="216" spans="2:8" x14ac:dyDescent="0.35">
      <c r="B216" s="37">
        <v>11997</v>
      </c>
      <c r="C216" s="46" t="str">
        <f>"RADIO ITATIAIA  SA"</f>
        <v>RADIO ITATIAIA  SA</v>
      </c>
      <c r="D216" s="31" t="s">
        <v>559</v>
      </c>
      <c r="E216" s="31" t="s">
        <v>560</v>
      </c>
      <c r="F216" s="41">
        <v>350000</v>
      </c>
      <c r="G216" s="41">
        <v>334227.53000000003</v>
      </c>
      <c r="H216" s="41">
        <v>15772.47</v>
      </c>
    </row>
    <row r="217" spans="2:8" x14ac:dyDescent="0.35">
      <c r="B217" s="37">
        <v>11998</v>
      </c>
      <c r="C217" s="46" t="str">
        <f>"IMAGEM GEOSISTEMAS  E  COMERCIO LTDA"</f>
        <v>IMAGEM GEOSISTEMAS  E  COMERCIO LTDA</v>
      </c>
      <c r="D217" s="31">
        <v>46177</v>
      </c>
      <c r="E217" s="31" t="s">
        <v>562</v>
      </c>
      <c r="F217" s="41">
        <v>123329.63</v>
      </c>
      <c r="G217" s="41">
        <v>123329.63</v>
      </c>
      <c r="H217" s="41">
        <v>0</v>
      </c>
    </row>
    <row r="218" spans="2:8" x14ac:dyDescent="0.35">
      <c r="B218" s="37">
        <v>11999</v>
      </c>
      <c r="C218" s="46" t="str">
        <f>"PLX ASSET LTDA"</f>
        <v>PLX ASSET LTDA</v>
      </c>
      <c r="D218" s="31" t="s">
        <v>564</v>
      </c>
      <c r="E218" s="31" t="s">
        <v>112</v>
      </c>
      <c r="F218" s="41">
        <v>160000</v>
      </c>
      <c r="G218" s="41">
        <v>160000</v>
      </c>
      <c r="H218" s="41">
        <v>0</v>
      </c>
    </row>
    <row r="219" spans="2:8" x14ac:dyDescent="0.35">
      <c r="B219" s="37">
        <v>12000</v>
      </c>
      <c r="C219" s="46" t="str">
        <f>"MALINOVSKI FEIRAS E EVENTOS LTDA"</f>
        <v>MALINOVSKI FEIRAS E EVENTOS LTDA</v>
      </c>
      <c r="D219" s="31" t="s">
        <v>566</v>
      </c>
      <c r="E219" s="31" t="s">
        <v>235</v>
      </c>
      <c r="F219" s="41">
        <v>400000</v>
      </c>
      <c r="G219" s="41">
        <v>400000</v>
      </c>
      <c r="H219" s="41">
        <v>0</v>
      </c>
    </row>
    <row r="220" spans="2:8" x14ac:dyDescent="0.35">
      <c r="B220" s="37">
        <v>12001</v>
      </c>
      <c r="C220" s="46" t="str">
        <f>"SOUZA CESCON BARRIEU  FLESCH SOCIEDADE DE ADVOGADOS"</f>
        <v>SOUZA CESCON BARRIEU  FLESCH SOCIEDADE DE ADVOGADOS</v>
      </c>
      <c r="D220" s="31" t="s">
        <v>568</v>
      </c>
      <c r="E220" s="31" t="s">
        <v>569</v>
      </c>
      <c r="F220" s="41">
        <v>510000</v>
      </c>
      <c r="G220" s="41">
        <v>155652.48000000001</v>
      </c>
      <c r="H220" s="41">
        <v>354347.52000000002</v>
      </c>
    </row>
    <row r="221" spans="2:8" ht="29" x14ac:dyDescent="0.35">
      <c r="B221" s="37">
        <v>12002</v>
      </c>
      <c r="C221" s="46" t="str">
        <f>"ASSOCIACAO CENTRAL DOS FRUTICULTORES DO NORTE DE MINAS  ABANORTE"</f>
        <v>ASSOCIACAO CENTRAL DOS FRUTICULTORES DO NORTE DE MINAS  ABANORTE</v>
      </c>
      <c r="D221" s="31" t="s">
        <v>571</v>
      </c>
      <c r="E221" s="31" t="s">
        <v>290</v>
      </c>
      <c r="F221" s="41">
        <v>200000</v>
      </c>
      <c r="G221" s="41">
        <v>199827.6</v>
      </c>
      <c r="H221" s="41">
        <v>1724000</v>
      </c>
    </row>
    <row r="222" spans="2:8" x14ac:dyDescent="0.35">
      <c r="B222" s="37">
        <v>12006</v>
      </c>
      <c r="C222" s="46" t="str">
        <f>"COMERCIAL ML DE PECAS LTDA"</f>
        <v>COMERCIAL ML DE PECAS LTDA</v>
      </c>
      <c r="D222" s="31">
        <v>46117</v>
      </c>
      <c r="E222" s="31">
        <v>46482</v>
      </c>
      <c r="F222" s="41">
        <v>177612.7</v>
      </c>
      <c r="G222" s="41">
        <v>40359.910000000003</v>
      </c>
      <c r="H222" s="41">
        <v>137252.79</v>
      </c>
    </row>
    <row r="223" spans="2:8" x14ac:dyDescent="0.35">
      <c r="B223" s="37">
        <v>12007</v>
      </c>
      <c r="C223" s="46" t="str">
        <f>"DISTRIBUIDORA DE AGUAS MINERAIS BH LTDA"</f>
        <v>DISTRIBUIDORA DE AGUAS MINERAIS BH LTDA</v>
      </c>
      <c r="D223" s="31" t="s">
        <v>578</v>
      </c>
      <c r="E223" s="31" t="s">
        <v>579</v>
      </c>
      <c r="F223" s="41">
        <v>8233.92</v>
      </c>
      <c r="G223" s="41">
        <v>2058.48</v>
      </c>
      <c r="H223" s="41">
        <v>6175.44</v>
      </c>
    </row>
    <row r="224" spans="2:8" x14ac:dyDescent="0.35">
      <c r="B224" s="37">
        <v>12008</v>
      </c>
      <c r="C224" s="46" t="str">
        <f>"MG BLOCK EQUIPAMENTOS LTDA"</f>
        <v>MG BLOCK EQUIPAMENTOS LTDA</v>
      </c>
      <c r="D224" s="31">
        <v>46208</v>
      </c>
      <c r="E224" s="31">
        <v>46544</v>
      </c>
      <c r="F224" s="41">
        <v>13800</v>
      </c>
      <c r="G224" s="41">
        <v>5000</v>
      </c>
      <c r="H224" s="41">
        <v>8800</v>
      </c>
    </row>
    <row r="225" spans="2:8" x14ac:dyDescent="0.35">
      <c r="B225" s="37">
        <v>12009</v>
      </c>
      <c r="C225" s="46" t="str">
        <f>"FUNDACAO EDUCACIONAL E CULTURAL DO SUDOESTE MINEIRO"</f>
        <v>FUNDACAO EDUCACIONAL E CULTURAL DO SUDOESTE MINEIRO</v>
      </c>
      <c r="D225" s="31" t="s">
        <v>578</v>
      </c>
      <c r="E225" s="31" t="s">
        <v>581</v>
      </c>
      <c r="F225" s="41">
        <v>350000</v>
      </c>
      <c r="G225" s="41">
        <v>349900</v>
      </c>
      <c r="H225" s="41">
        <v>1000000</v>
      </c>
    </row>
    <row r="226" spans="2:8" x14ac:dyDescent="0.35">
      <c r="B226" s="37">
        <v>12010</v>
      </c>
      <c r="C226" s="46" t="str">
        <f>"PROFI COMERCIO DE ALIMENTOS LTDA"</f>
        <v>PROFI COMERCIO DE ALIMENTOS LTDA</v>
      </c>
      <c r="D226" s="31">
        <v>46178</v>
      </c>
      <c r="E226" s="31">
        <v>46512</v>
      </c>
      <c r="F226" s="41">
        <v>18135.599999999999</v>
      </c>
      <c r="G226" s="41">
        <v>3238.5</v>
      </c>
      <c r="H226" s="41">
        <v>14897.1</v>
      </c>
    </row>
    <row r="227" spans="2:8" x14ac:dyDescent="0.35">
      <c r="B227" s="37">
        <v>12011</v>
      </c>
      <c r="C227" s="46" t="str">
        <f>"PRODEMGE  CIA DE TECNOL DA INFORMACAO DE MG"</f>
        <v>PRODEMGE  CIA DE TECNOL DA INFORMACAO DE MG</v>
      </c>
      <c r="D227" s="31" t="s">
        <v>584</v>
      </c>
      <c r="E227" s="31" t="s">
        <v>585</v>
      </c>
      <c r="F227" s="41">
        <v>315942</v>
      </c>
      <c r="G227" s="41">
        <v>0</v>
      </c>
      <c r="H227" s="41">
        <v>315942</v>
      </c>
    </row>
    <row r="228" spans="2:8" x14ac:dyDescent="0.35">
      <c r="B228" s="37">
        <v>12012</v>
      </c>
      <c r="C228" s="46" t="str">
        <f>"ASSOCIACAO MINEIRA DE MUNICIPIOS"</f>
        <v>ASSOCIACAO MINEIRA DE MUNICIPIOS</v>
      </c>
      <c r="D228" s="31">
        <v>46147</v>
      </c>
      <c r="E228" s="31">
        <v>46478</v>
      </c>
      <c r="F228" s="41">
        <v>1000000</v>
      </c>
      <c r="G228" s="41">
        <v>1000000</v>
      </c>
      <c r="H228" s="41">
        <v>0</v>
      </c>
    </row>
    <row r="229" spans="2:8" x14ac:dyDescent="0.35">
      <c r="B229" s="37">
        <v>12013</v>
      </c>
      <c r="C229" s="46" t="str">
        <f>"LACERDA DINIZ SENA ADVOGADOS"</f>
        <v>LACERDA DINIZ SENA ADVOGADOS</v>
      </c>
      <c r="D229" s="31">
        <v>46239</v>
      </c>
      <c r="E229" s="31">
        <v>46573</v>
      </c>
      <c r="F229" s="41">
        <v>150000</v>
      </c>
      <c r="G229" s="41">
        <v>37500</v>
      </c>
      <c r="H229" s="41">
        <v>112500</v>
      </c>
    </row>
    <row r="230" spans="2:8" x14ac:dyDescent="0.35">
      <c r="B230" s="37">
        <v>12015</v>
      </c>
      <c r="C230" s="46" t="str">
        <f>"SETTE TURISMO PROMOCOES E EVENTOS LTDA"</f>
        <v>SETTE TURISMO PROMOCOES E EVENTOS LTDA</v>
      </c>
      <c r="D230" s="31" t="s">
        <v>587</v>
      </c>
      <c r="E230" s="31" t="s">
        <v>588</v>
      </c>
      <c r="F230" s="41">
        <v>200000</v>
      </c>
      <c r="G230" s="41">
        <v>200000</v>
      </c>
      <c r="H230" s="41">
        <v>0</v>
      </c>
    </row>
    <row r="231" spans="2:8" x14ac:dyDescent="0.35">
      <c r="B231" s="37">
        <v>12016</v>
      </c>
      <c r="C231" s="46" t="str">
        <f>"FEDERACAO DA AGRICULTURA E PECUARIA DO ESTADO DE MINAS GERAIS"</f>
        <v>FEDERACAO DA AGRICULTURA E PECUARIA DO ESTADO DE MINAS GERAIS</v>
      </c>
      <c r="D231" s="31" t="s">
        <v>589</v>
      </c>
      <c r="E231" s="31">
        <v>46185</v>
      </c>
      <c r="F231" s="41">
        <v>300000</v>
      </c>
      <c r="G231" s="41">
        <v>0</v>
      </c>
      <c r="H231" s="41">
        <v>300000</v>
      </c>
    </row>
    <row r="232" spans="2:8" x14ac:dyDescent="0.35">
      <c r="B232" s="37">
        <v>12017</v>
      </c>
      <c r="C232" s="46" t="str">
        <f>"ACT COMUNICACAO EMPRESARIAL LTDA"</f>
        <v>ACT COMUNICACAO EMPRESARIAL LTDA</v>
      </c>
      <c r="D232" s="31" t="s">
        <v>584</v>
      </c>
      <c r="E232" s="31" t="s">
        <v>593</v>
      </c>
      <c r="F232" s="41">
        <v>68000</v>
      </c>
      <c r="G232" s="41">
        <v>46500</v>
      </c>
      <c r="H232" s="41">
        <v>21500</v>
      </c>
    </row>
    <row r="233" spans="2:8" x14ac:dyDescent="0.35">
      <c r="B233" s="37">
        <v>12018</v>
      </c>
      <c r="C233" s="46" t="str">
        <f>"SEMPRE EDITORA LTDA"</f>
        <v>SEMPRE EDITORA LTDA</v>
      </c>
      <c r="D233" s="31">
        <v>46361</v>
      </c>
      <c r="E233" s="31">
        <v>46722</v>
      </c>
      <c r="F233" s="41">
        <v>75000</v>
      </c>
      <c r="G233" s="41">
        <v>0</v>
      </c>
      <c r="H233" s="41">
        <v>75000</v>
      </c>
    </row>
    <row r="234" spans="2:8" ht="29" x14ac:dyDescent="0.35">
      <c r="B234" s="37">
        <v>12019</v>
      </c>
      <c r="C234" s="46" t="str">
        <f>"ASSOCIACAO DOS FORNECEDORES DE CANA DA REGIAO DE CAMPO FLORIDO"</f>
        <v>ASSOCIACAO DOS FORNECEDORES DE CANA DA REGIAO DE CAMPO FLORIDO</v>
      </c>
      <c r="D234" s="31" t="s">
        <v>589</v>
      </c>
      <c r="E234" s="31" t="s">
        <v>595</v>
      </c>
      <c r="F234" s="41">
        <v>650000</v>
      </c>
      <c r="G234" s="41">
        <v>0</v>
      </c>
      <c r="H234" s="41">
        <v>650000</v>
      </c>
    </row>
    <row r="235" spans="2:8" x14ac:dyDescent="0.35">
      <c r="B235" s="37">
        <v>12020</v>
      </c>
      <c r="C235" s="46" t="str">
        <f>"INSTITUTO RUI BARBOSA"</f>
        <v>INSTITUTO RUI BARBOSA</v>
      </c>
      <c r="D235" s="31" t="s">
        <v>589</v>
      </c>
      <c r="E235" s="31" t="s">
        <v>597</v>
      </c>
      <c r="F235" s="41">
        <v>180000</v>
      </c>
      <c r="G235" s="41">
        <v>0</v>
      </c>
      <c r="H235" s="41">
        <v>180000</v>
      </c>
    </row>
    <row r="236" spans="2:8" ht="29" x14ac:dyDescent="0.35">
      <c r="B236" s="37">
        <v>12022</v>
      </c>
      <c r="C236" s="46" t="str">
        <f>"COOPERATIVA DOS CAFEICULTORES DO CERRADO DE ARAGUARI E REGIAO LTDA"</f>
        <v>COOPERATIVA DOS CAFEICULTORES DO CERRADO DE ARAGUARI E REGIAO LTDA</v>
      </c>
      <c r="D236" s="31">
        <v>46028</v>
      </c>
      <c r="E236" s="31">
        <v>46034</v>
      </c>
      <c r="F236" s="41">
        <v>200000</v>
      </c>
      <c r="G236" s="41">
        <v>0</v>
      </c>
      <c r="H236" s="41">
        <v>200000</v>
      </c>
    </row>
    <row r="237" spans="2:8" x14ac:dyDescent="0.35">
      <c r="B237" s="37">
        <v>12023</v>
      </c>
      <c r="C237" s="46" t="str">
        <f>"ASSOCIACAO BRASILEIRA DOS CRIADORES DE GIROLANDO"</f>
        <v>ASSOCIACAO BRASILEIRA DOS CRIADORES DE GIROLANDO</v>
      </c>
      <c r="D237" s="31">
        <v>46087</v>
      </c>
      <c r="E237" s="31">
        <v>46185</v>
      </c>
      <c r="F237" s="41">
        <v>900000</v>
      </c>
      <c r="G237" s="41">
        <v>0</v>
      </c>
      <c r="H237" s="41">
        <v>900000</v>
      </c>
    </row>
    <row r="238" spans="2:8" x14ac:dyDescent="0.35">
      <c r="B238" s="37">
        <v>12024</v>
      </c>
      <c r="C238" s="46" t="str">
        <f>"SEMPRE EDITORA LTDA"</f>
        <v>SEMPRE EDITORA LTDA</v>
      </c>
      <c r="D238" s="31">
        <v>46240</v>
      </c>
      <c r="E238" s="31">
        <v>46368</v>
      </c>
      <c r="F238" s="41">
        <v>75000</v>
      </c>
      <c r="G238" s="41">
        <v>0</v>
      </c>
      <c r="H238" s="41">
        <v>75000</v>
      </c>
    </row>
    <row r="239" spans="2:8" x14ac:dyDescent="0.35">
      <c r="B239" s="37">
        <v>12025</v>
      </c>
      <c r="C239" s="46" t="str">
        <f>"PLANILHAR TREINAMENTO E CONSULTORIA EM LICITACOES LTDA"</f>
        <v>PLANILHAR TREINAMENTO E CONSULTORIA EM LICITACOES LTDA</v>
      </c>
      <c r="D239" s="31">
        <v>46271</v>
      </c>
      <c r="E239" s="31">
        <v>46605</v>
      </c>
      <c r="F239" s="41">
        <v>125000</v>
      </c>
      <c r="G239" s="41">
        <v>6250</v>
      </c>
      <c r="H239" s="41">
        <v>118750</v>
      </c>
    </row>
    <row r="240" spans="2:8" x14ac:dyDescent="0.35">
      <c r="B240" s="37">
        <v>12026</v>
      </c>
      <c r="C240" s="46" t="str">
        <f>"HPL PRODUCOES EVENTOS EIRELI"</f>
        <v>HPL PRODUCOES EVENTOS EIRELI</v>
      </c>
      <c r="D240" s="31">
        <v>46087</v>
      </c>
      <c r="E240" s="31" t="s">
        <v>599</v>
      </c>
      <c r="F240" s="41">
        <v>100000</v>
      </c>
      <c r="G240" s="41">
        <v>100000</v>
      </c>
      <c r="H240" s="41">
        <v>0</v>
      </c>
    </row>
    <row r="241" spans="2:8" x14ac:dyDescent="0.35">
      <c r="B241" s="37">
        <v>12027</v>
      </c>
      <c r="C241" s="46" t="str">
        <f>"ECOLOGICO COMUNICACAO EM MEIO AMBIENTE LTDA"</f>
        <v>ECOLOGICO COMUNICACAO EM MEIO AMBIENTE LTDA</v>
      </c>
      <c r="D241" s="31">
        <v>46240</v>
      </c>
      <c r="E241" s="31">
        <v>46246</v>
      </c>
      <c r="F241" s="41">
        <v>35000</v>
      </c>
      <c r="G241" s="41">
        <v>0</v>
      </c>
      <c r="H241" s="41">
        <v>35000</v>
      </c>
    </row>
    <row r="242" spans="2:8" x14ac:dyDescent="0.35">
      <c r="B242" s="37">
        <v>12028</v>
      </c>
      <c r="C242" s="46" t="str">
        <f>"MINEIRA DIGITAL  E EVENTOS  LTDA"</f>
        <v>MINEIRA DIGITAL  E EVENTOS  LTDA</v>
      </c>
      <c r="D242" s="31">
        <v>46301</v>
      </c>
      <c r="E242" s="31" t="s">
        <v>214</v>
      </c>
      <c r="F242" s="41">
        <v>100000</v>
      </c>
      <c r="G242" s="41">
        <v>100000</v>
      </c>
      <c r="H242" s="41">
        <v>0</v>
      </c>
    </row>
    <row r="243" spans="2:8" x14ac:dyDescent="0.35">
      <c r="B243" s="37">
        <v>12029</v>
      </c>
      <c r="C243" s="46" t="str">
        <f>"FUNDO DE APOIO A ESTRUTURACAO FEP CAIXA"</f>
        <v>FUNDO DE APOIO A ESTRUTURACAO FEP CAIXA</v>
      </c>
      <c r="D243" s="31" t="s">
        <v>604</v>
      </c>
      <c r="E243" s="31" t="s">
        <v>605</v>
      </c>
      <c r="F243" s="41">
        <v>24139245.440000001</v>
      </c>
      <c r="G243" s="41">
        <v>362656.94</v>
      </c>
      <c r="H243" s="41">
        <v>23776588.5</v>
      </c>
    </row>
    <row r="244" spans="2:8" ht="29" x14ac:dyDescent="0.35">
      <c r="B244" s="37">
        <v>12030</v>
      </c>
      <c r="C244" s="46" t="str">
        <f>"FEDERACAO DAS CAMARAS DOS DIRIGENTES LOGISTAS DO ESTADO DE MINAS GERAIS"</f>
        <v>FEDERACAO DAS CAMARAS DOS DIRIGENTES LOGISTAS DO ESTADO DE MINAS GERAIS</v>
      </c>
      <c r="D244" s="31">
        <v>46271</v>
      </c>
      <c r="E244" s="31" t="s">
        <v>606</v>
      </c>
      <c r="F244" s="41">
        <v>50000</v>
      </c>
      <c r="G244" s="41">
        <v>50000</v>
      </c>
      <c r="H244" s="41">
        <v>0</v>
      </c>
    </row>
    <row r="245" spans="2:8" x14ac:dyDescent="0.35">
      <c r="B245" s="37">
        <v>12031</v>
      </c>
      <c r="C245" s="46" t="str">
        <f>"ASSOCIACAO DOS CONDOMINIOS DE LAGOA SANTA"</f>
        <v>ASSOCIACAO DOS CONDOMINIOS DE LAGOA SANTA</v>
      </c>
      <c r="D245" s="31">
        <v>46301</v>
      </c>
      <c r="E245" s="31" t="s">
        <v>214</v>
      </c>
      <c r="F245" s="41">
        <v>50000</v>
      </c>
      <c r="G245" s="41">
        <v>50000</v>
      </c>
      <c r="H245" s="41">
        <v>0</v>
      </c>
    </row>
    <row r="246" spans="2:8" x14ac:dyDescent="0.35">
      <c r="B246" s="37">
        <v>12032</v>
      </c>
      <c r="C246" s="46" t="str">
        <f>"ASSOCIACAO PROCULTURA E PROMOCAO DAS ARTES"</f>
        <v>ASSOCIACAO PROCULTURA E PROMOCAO DAS ARTES</v>
      </c>
      <c r="D246" s="31" t="s">
        <v>608</v>
      </c>
      <c r="E246" s="31" t="s">
        <v>609</v>
      </c>
      <c r="F246" s="41">
        <v>96000</v>
      </c>
      <c r="G246" s="41">
        <v>0</v>
      </c>
      <c r="H246" s="41">
        <v>96000</v>
      </c>
    </row>
    <row r="247" spans="2:8" x14ac:dyDescent="0.35">
      <c r="B247" s="37">
        <v>12034</v>
      </c>
      <c r="C247" s="46" t="str">
        <f>"INSTITUTO DE FORMACAO DE LIDERES DE BHTE"</f>
        <v>INSTITUTO DE FORMACAO DE LIDERES DE BHTE</v>
      </c>
      <c r="D247" s="31" t="s">
        <v>608</v>
      </c>
      <c r="E247" s="31" t="s">
        <v>515</v>
      </c>
      <c r="F247" s="41">
        <v>120000</v>
      </c>
      <c r="G247" s="41">
        <v>0</v>
      </c>
      <c r="H247" s="41">
        <v>120000</v>
      </c>
    </row>
    <row r="248" spans="2:8" x14ac:dyDescent="0.35">
      <c r="B248" s="37">
        <v>12036</v>
      </c>
      <c r="C248" s="46" t="str">
        <f>"VILA BRASIL TURISMO EVENTOS E BUFFET LTDA"</f>
        <v>VILA BRASIL TURISMO EVENTOS E BUFFET LTDA</v>
      </c>
      <c r="D248" s="31" t="s">
        <v>611</v>
      </c>
      <c r="E248" s="31" t="s">
        <v>515</v>
      </c>
      <c r="F248" s="41">
        <v>80000</v>
      </c>
      <c r="G248" s="41">
        <v>0</v>
      </c>
      <c r="H248" s="41">
        <v>80000</v>
      </c>
    </row>
    <row r="249" spans="2:8" x14ac:dyDescent="0.35">
      <c r="B249" s="37">
        <v>12037</v>
      </c>
      <c r="C249" s="46" t="str">
        <f>"ASSOCIACAO DE MUSICOS E ARTISTAS DE SAO THOME DAS LETRAS"</f>
        <v>ASSOCIACAO DE MUSICOS E ARTISTAS DE SAO THOME DAS LETRAS</v>
      </c>
      <c r="D249" s="31" t="s">
        <v>608</v>
      </c>
      <c r="E249" s="31" t="s">
        <v>310</v>
      </c>
      <c r="F249" s="41">
        <v>100000</v>
      </c>
      <c r="G249" s="41">
        <v>78570</v>
      </c>
      <c r="H249" s="41">
        <v>21430</v>
      </c>
    </row>
    <row r="250" spans="2:8" x14ac:dyDescent="0.35">
      <c r="B250" s="37">
        <v>12038</v>
      </c>
      <c r="C250" s="46" t="str">
        <f>"SOCIEDADE RURAL DE MONTES CLAROS"</f>
        <v>SOCIEDADE RURAL DE MONTES CLAROS</v>
      </c>
      <c r="D250" s="31" t="s">
        <v>614</v>
      </c>
      <c r="E250" s="31">
        <v>46508</v>
      </c>
      <c r="F250" s="41">
        <v>100000</v>
      </c>
      <c r="G250" s="41">
        <v>0</v>
      </c>
      <c r="H250" s="41">
        <v>100000</v>
      </c>
    </row>
    <row r="251" spans="2:8" x14ac:dyDescent="0.35">
      <c r="B251" s="37">
        <v>12039</v>
      </c>
      <c r="C251" s="46" t="str">
        <f>"SAD CONSULTORIA LTDA"</f>
        <v>SAD CONSULTORIA LTDA</v>
      </c>
      <c r="D251" s="31" t="s">
        <v>618</v>
      </c>
      <c r="E251" s="31" t="s">
        <v>619</v>
      </c>
      <c r="F251" s="41">
        <v>170700</v>
      </c>
      <c r="G251" s="41">
        <v>56900</v>
      </c>
      <c r="H251" s="41">
        <v>113800</v>
      </c>
    </row>
    <row r="252" spans="2:8" x14ac:dyDescent="0.35">
      <c r="B252" s="37">
        <v>12040</v>
      </c>
      <c r="C252" s="46" t="str">
        <f>"IOB INFORMACOES OBJ E PUBLIC JURID LTDA"</f>
        <v>IOB INFORMACOES OBJ E PUBLIC JURID LTDA</v>
      </c>
      <c r="D252" s="31">
        <v>46210</v>
      </c>
      <c r="E252" s="31">
        <v>46575</v>
      </c>
      <c r="F252" s="41">
        <v>14760</v>
      </c>
      <c r="G252" s="41">
        <v>14760</v>
      </c>
      <c r="H252" s="41">
        <v>0</v>
      </c>
    </row>
    <row r="253" spans="2:8" x14ac:dyDescent="0.35">
      <c r="B253" s="37">
        <v>12042</v>
      </c>
      <c r="C253" s="46" t="str">
        <f>"UNIVERSIDADE FEDERAL DE SAO JOAO DEL REI"</f>
        <v>UNIVERSIDADE FEDERAL DE SAO JOAO DEL REI</v>
      </c>
      <c r="D253" s="31" t="s">
        <v>622</v>
      </c>
      <c r="E253" s="31" t="s">
        <v>623</v>
      </c>
      <c r="F253" s="41">
        <v>54138000</v>
      </c>
      <c r="G253" s="41">
        <v>0</v>
      </c>
      <c r="H253" s="41">
        <v>54138000</v>
      </c>
    </row>
    <row r="254" spans="2:8" x14ac:dyDescent="0.35">
      <c r="B254" s="37">
        <v>12043</v>
      </c>
      <c r="C254" s="46" t="str">
        <f>"MUNICIPIO DE HELIODORA"</f>
        <v>MUNICIPIO DE HELIODORA</v>
      </c>
      <c r="D254" s="31" t="s">
        <v>624</v>
      </c>
      <c r="E254" s="31" t="s">
        <v>220</v>
      </c>
      <c r="F254" s="41">
        <v>80000</v>
      </c>
      <c r="G254" s="41">
        <v>80000</v>
      </c>
      <c r="H254" s="41">
        <v>0</v>
      </c>
    </row>
    <row r="255" spans="2:8" x14ac:dyDescent="0.35">
      <c r="B255" s="37">
        <v>12046</v>
      </c>
      <c r="C255" s="46" t="str">
        <f>"PREFEITURA MUNICIPAL DE JUIZ DE FORA"</f>
        <v>PREFEITURA MUNICIPAL DE JUIZ DE FORA</v>
      </c>
      <c r="D255" s="31" t="s">
        <v>624</v>
      </c>
      <c r="E255" s="31" t="s">
        <v>376</v>
      </c>
      <c r="F255" s="41">
        <v>14000000</v>
      </c>
      <c r="G255" s="41">
        <v>850000</v>
      </c>
      <c r="H255" s="41">
        <v>13150000</v>
      </c>
    </row>
    <row r="256" spans="2:8" x14ac:dyDescent="0.35">
      <c r="B256" s="37">
        <v>12047</v>
      </c>
      <c r="C256" s="46" t="str">
        <f>"COOPERATIVA DE RADIO COMUNICACAO DE  BELO  HORIZONTE"</f>
        <v>COOPERATIVA DE RADIO COMUNICACAO DE  BELO  HORIZONTE</v>
      </c>
      <c r="D256" s="31">
        <v>46088</v>
      </c>
      <c r="E256" s="31">
        <v>47886</v>
      </c>
      <c r="F256" s="41">
        <v>271454.32</v>
      </c>
      <c r="G256" s="41">
        <v>0</v>
      </c>
      <c r="H256" s="41">
        <v>271454.32</v>
      </c>
    </row>
    <row r="257" spans="2:8" x14ac:dyDescent="0.35">
      <c r="B257" s="37">
        <v>12048</v>
      </c>
      <c r="C257" s="46" t="str">
        <f>"E AUDITORIA SOFTWARES COMO SERVICO LTDA"</f>
        <v>E AUDITORIA SOFTWARES COMO SERVICO LTDA</v>
      </c>
      <c r="D257" s="31" t="s">
        <v>624</v>
      </c>
      <c r="E257" s="31" t="s">
        <v>629</v>
      </c>
      <c r="F257" s="41">
        <v>11880</v>
      </c>
      <c r="G257" s="41">
        <v>11880</v>
      </c>
      <c r="H257" s="41">
        <v>0</v>
      </c>
    </row>
    <row r="258" spans="2:8" x14ac:dyDescent="0.35">
      <c r="B258" s="37">
        <v>12049</v>
      </c>
      <c r="C258" s="46" t="str">
        <f>"RICCI DIARIOS PUBLICIDADE E AGENCIAMENTO"</f>
        <v>RICCI DIARIOS PUBLICIDADE E AGENCIAMENTO</v>
      </c>
      <c r="D258" s="31" t="s">
        <v>624</v>
      </c>
      <c r="E258" s="31" t="s">
        <v>633</v>
      </c>
      <c r="F258" s="41">
        <v>3070100</v>
      </c>
      <c r="G258" s="41">
        <v>15840</v>
      </c>
      <c r="H258" s="41">
        <v>3054260</v>
      </c>
    </row>
    <row r="259" spans="2:8" x14ac:dyDescent="0.35">
      <c r="B259" s="37">
        <v>12053</v>
      </c>
      <c r="C259" s="46" t="str">
        <f>"AGENCIA DE INTEGRACAO EMPRESA ESCOLA LTDA"</f>
        <v>AGENCIA DE INTEGRACAO EMPRESA ESCOLA LTDA</v>
      </c>
      <c r="D259" s="31">
        <v>46180</v>
      </c>
      <c r="E259" s="31" t="s">
        <v>635</v>
      </c>
      <c r="F259" s="41">
        <v>52080</v>
      </c>
      <c r="G259" s="41">
        <v>1680</v>
      </c>
      <c r="H259" s="41">
        <v>50400</v>
      </c>
    </row>
    <row r="260" spans="2:8" x14ac:dyDescent="0.35">
      <c r="B260" s="37">
        <v>12054</v>
      </c>
      <c r="C260" s="46" t="str">
        <f>"UNIAO CONSULTORIA EXECUCAO DE PROJETOS DE GESTAO SS"</f>
        <v>UNIAO CONSULTORIA EXECUCAO DE PROJETOS DE GESTAO SS</v>
      </c>
      <c r="D260" s="31">
        <v>46272</v>
      </c>
      <c r="E260" s="31">
        <v>46601</v>
      </c>
      <c r="F260" s="41">
        <v>270500</v>
      </c>
      <c r="G260" s="41">
        <v>54100</v>
      </c>
      <c r="H260" s="41">
        <v>216400</v>
      </c>
    </row>
    <row r="261" spans="2:8" x14ac:dyDescent="0.35">
      <c r="B261" s="37">
        <v>12055</v>
      </c>
      <c r="C261" s="46" t="str">
        <f>"INSTITUTO BRASILEIRO DE GOVERNANCA CORPORATIVA"</f>
        <v>INSTITUTO BRASILEIRO DE GOVERNANCA CORPORATIVA</v>
      </c>
      <c r="D261" s="31" t="s">
        <v>637</v>
      </c>
      <c r="E261" s="31" t="s">
        <v>638</v>
      </c>
      <c r="F261" s="41">
        <v>56900</v>
      </c>
      <c r="G261" s="41">
        <v>0</v>
      </c>
      <c r="H261" s="41">
        <v>56900</v>
      </c>
    </row>
    <row r="262" spans="2:8" x14ac:dyDescent="0.35">
      <c r="B262" s="37">
        <v>12056</v>
      </c>
      <c r="C262" s="46" t="str">
        <f>"TECNETWORKING SERVICOS E SOLUCOES EM TI LTDA"</f>
        <v>TECNETWORKING SERVICOS E SOLUCOES EM TI LTDA</v>
      </c>
      <c r="D262" s="31" t="s">
        <v>640</v>
      </c>
      <c r="E262" s="31" t="s">
        <v>641</v>
      </c>
      <c r="F262" s="41">
        <v>518525</v>
      </c>
      <c r="G262" s="41">
        <v>0</v>
      </c>
      <c r="H262" s="41">
        <v>518525</v>
      </c>
    </row>
    <row r="263" spans="2:8" x14ac:dyDescent="0.35">
      <c r="B263" s="37">
        <v>12057</v>
      </c>
      <c r="C263" s="46" t="str">
        <f>"SECRETARIA DE ESTADO DE GOVERNO"</f>
        <v>SECRETARIA DE ESTADO DE GOVERNO</v>
      </c>
      <c r="D263" s="31" t="s">
        <v>533</v>
      </c>
      <c r="E263" s="31" t="s">
        <v>857</v>
      </c>
      <c r="F263" s="41">
        <v>348140.79999999999</v>
      </c>
      <c r="G263" s="41">
        <v>0</v>
      </c>
      <c r="H263" s="41">
        <v>348140.79999999999</v>
      </c>
    </row>
    <row r="264" spans="2:8" x14ac:dyDescent="0.35">
      <c r="B264" s="37">
        <v>12058</v>
      </c>
      <c r="C264" s="46" t="str">
        <f>"DEALLINK SERVICOS DE APOIO ADMINISTRATIVO LTDA"</f>
        <v>DEALLINK SERVICOS DE APOIO ADMINISTRATIVO LTDA</v>
      </c>
      <c r="D264" s="31" t="s">
        <v>637</v>
      </c>
      <c r="E264" s="31" t="s">
        <v>643</v>
      </c>
      <c r="F264" s="41">
        <v>170000</v>
      </c>
      <c r="G264" s="41">
        <v>0</v>
      </c>
      <c r="H264" s="41">
        <v>170000</v>
      </c>
    </row>
    <row r="265" spans="2:8" x14ac:dyDescent="0.35">
      <c r="B265" s="37">
        <v>12059</v>
      </c>
      <c r="C265" s="46" t="str">
        <f>"CONSTRUTORA ATRATIVA LTDA"</f>
        <v>CONSTRUTORA ATRATIVA LTDA</v>
      </c>
      <c r="D265" s="31" t="s">
        <v>219</v>
      </c>
      <c r="E265" s="31" t="s">
        <v>859</v>
      </c>
      <c r="F265" s="41">
        <v>2166000</v>
      </c>
      <c r="G265" s="41">
        <v>0</v>
      </c>
      <c r="H265" s="41">
        <v>2166000</v>
      </c>
    </row>
    <row r="266" spans="2:8" x14ac:dyDescent="0.35">
      <c r="B266" s="37">
        <v>12060</v>
      </c>
      <c r="C266" s="46" t="str">
        <f>"MARA TRANSPORTES LTDA"</f>
        <v>MARA TRANSPORTES LTDA</v>
      </c>
      <c r="D266" s="31">
        <v>46364</v>
      </c>
      <c r="E266" s="31">
        <v>46699</v>
      </c>
      <c r="F266" s="41">
        <v>6064</v>
      </c>
      <c r="G266" s="41">
        <v>7580000</v>
      </c>
      <c r="H266" s="41">
        <v>5306</v>
      </c>
    </row>
    <row r="267" spans="2:8" x14ac:dyDescent="0.35">
      <c r="B267" s="37">
        <v>12061</v>
      </c>
      <c r="C267" s="46" t="str">
        <f>"BRASIL MINAS  PROJETOS E ENGENHARIA  LTDA"</f>
        <v>BRASIL MINAS  PROJETOS E ENGENHARIA  LTDA</v>
      </c>
      <c r="D267" s="31" t="s">
        <v>42</v>
      </c>
      <c r="E267" s="31" t="s">
        <v>645</v>
      </c>
      <c r="F267" s="41">
        <v>12998</v>
      </c>
      <c r="G267" s="41">
        <v>0</v>
      </c>
      <c r="H267" s="41">
        <v>12998</v>
      </c>
    </row>
    <row r="268" spans="2:8" x14ac:dyDescent="0.35">
      <c r="B268" s="37">
        <v>12062</v>
      </c>
      <c r="C268" s="46" t="str">
        <f>"SPARTANVALE REPRESENTACAO COMERCIO E SERVICOS LTDA"</f>
        <v>SPARTANVALE REPRESENTACAO COMERCIO E SERVICOS LTDA</v>
      </c>
      <c r="D268" s="31">
        <v>46120</v>
      </c>
      <c r="E268" s="31">
        <v>46454</v>
      </c>
      <c r="F268" s="41">
        <v>2021.52</v>
      </c>
      <c r="G268" s="41">
        <v>5053800</v>
      </c>
      <c r="H268" s="41">
        <v>1516.14</v>
      </c>
    </row>
    <row r="269" spans="2:8" x14ac:dyDescent="0.35">
      <c r="B269" s="37">
        <v>12063</v>
      </c>
      <c r="C269" s="46" t="str">
        <f>"SUL MINEIRA COMERCIO DE MATERIAL DE LIMPEZA LTDA"</f>
        <v>SUL MINEIRA COMERCIO DE MATERIAL DE LIMPEZA LTDA</v>
      </c>
      <c r="D269" s="31">
        <v>46150</v>
      </c>
      <c r="E269" s="31">
        <v>46485</v>
      </c>
      <c r="F269" s="41">
        <v>6672</v>
      </c>
      <c r="G269" s="41">
        <v>1668</v>
      </c>
      <c r="H269" s="41">
        <v>5004</v>
      </c>
    </row>
    <row r="270" spans="2:8" x14ac:dyDescent="0.35">
      <c r="B270" s="37">
        <v>12064</v>
      </c>
      <c r="C270" s="46" t="str">
        <f>"IN HAUS INDUSTRIAL E SERVICOS DE LOGISTICA LTDA"</f>
        <v>IN HAUS INDUSTRIAL E SERVICOS DE LOGISTICA LTDA</v>
      </c>
      <c r="D270" s="31">
        <v>46061</v>
      </c>
      <c r="E270" s="31">
        <v>46395</v>
      </c>
      <c r="F270" s="41">
        <v>2007969.65</v>
      </c>
      <c r="G270" s="41">
        <v>0</v>
      </c>
      <c r="H270" s="41">
        <v>2007969.65</v>
      </c>
    </row>
    <row r="271" spans="2:8" x14ac:dyDescent="0.35">
      <c r="B271" s="37">
        <v>12065</v>
      </c>
      <c r="C271" s="46" t="str">
        <f>"CONSTRUPRIME CONSTRUCOES E EMPREENDIMENTOS LTDA"</f>
        <v>CONSTRUPRIME CONSTRUCOES E EMPREENDIMENTOS LTDA</v>
      </c>
      <c r="D271" s="31">
        <v>46120</v>
      </c>
      <c r="E271" s="31">
        <v>46454</v>
      </c>
      <c r="F271" s="41">
        <v>1913136.84</v>
      </c>
      <c r="G271" s="41">
        <v>0</v>
      </c>
      <c r="H271" s="41">
        <v>1913136.84</v>
      </c>
    </row>
    <row r="272" spans="2:8" x14ac:dyDescent="0.35">
      <c r="B272" s="37">
        <v>12066</v>
      </c>
      <c r="C272" s="46" t="str">
        <f>"CENTRAL SUPRIMENTOS LTDA  ME"</f>
        <v>CENTRAL SUPRIMENTOS LTDA  ME</v>
      </c>
      <c r="D272" s="31" t="s">
        <v>658</v>
      </c>
      <c r="E272" s="31">
        <v>46729</v>
      </c>
      <c r="F272" s="41">
        <v>2112</v>
      </c>
      <c r="G272" s="41">
        <v>7040000</v>
      </c>
      <c r="H272" s="41">
        <v>1408</v>
      </c>
    </row>
    <row r="273" spans="2:8" x14ac:dyDescent="0.35">
      <c r="B273" s="37">
        <v>12067</v>
      </c>
      <c r="C273" s="46" t="str">
        <f>"CS BRASIL FROTAS SA"</f>
        <v>CS BRASIL FROTAS SA</v>
      </c>
      <c r="D273" s="31" t="s">
        <v>405</v>
      </c>
      <c r="E273" s="31" t="s">
        <v>872</v>
      </c>
      <c r="F273" s="41">
        <v>6769998.2000000002</v>
      </c>
      <c r="G273" s="41">
        <v>0</v>
      </c>
      <c r="H273" s="41">
        <v>6769998.2000000002</v>
      </c>
    </row>
    <row r="274" spans="2:8" x14ac:dyDescent="0.35">
      <c r="B274" s="37">
        <v>12068</v>
      </c>
      <c r="C274" s="46" t="str">
        <f>"CRISART EVENTOS LTDA"</f>
        <v>CRISART EVENTOS LTDA</v>
      </c>
      <c r="D274" s="31" t="s">
        <v>164</v>
      </c>
      <c r="E274" s="31" t="s">
        <v>874</v>
      </c>
      <c r="F274" s="41">
        <v>149135.9</v>
      </c>
      <c r="G274" s="41">
        <v>0</v>
      </c>
      <c r="H274" s="41">
        <v>149135.9</v>
      </c>
    </row>
    <row r="275" spans="2:8" x14ac:dyDescent="0.35">
      <c r="B275" s="37">
        <v>12069</v>
      </c>
      <c r="C275" s="46" t="str">
        <f>"CETEST MINAS ENGENHARIA E SERVICOS S A"</f>
        <v>CETEST MINAS ENGENHARIA E SERVICOS S A</v>
      </c>
      <c r="D275" s="31">
        <v>46181</v>
      </c>
      <c r="E275" s="31">
        <v>46184</v>
      </c>
      <c r="F275" s="41">
        <v>702090.32</v>
      </c>
      <c r="G275" s="41">
        <v>0</v>
      </c>
      <c r="H275" s="41">
        <v>702090.32</v>
      </c>
    </row>
    <row r="276" spans="2:8" x14ac:dyDescent="0.35">
      <c r="B276" s="37">
        <v>12070</v>
      </c>
      <c r="C276" s="46" t="str">
        <f>"ALVES E OLIVEIRA SOLUCOES DIGITAIS E VENDA DE EQUIPAMENTOS LTDA"</f>
        <v>ALVES E OLIVEIRA SOLUCOES DIGITAIS E VENDA DE EQUIPAMENTOS LTDA</v>
      </c>
      <c r="D276" s="31" t="s">
        <v>281</v>
      </c>
      <c r="E276" s="31" t="s">
        <v>877</v>
      </c>
      <c r="F276" s="41">
        <v>6640</v>
      </c>
      <c r="G276" s="41">
        <v>0</v>
      </c>
      <c r="H276" s="41">
        <v>6640</v>
      </c>
    </row>
    <row r="277" spans="2:8" x14ac:dyDescent="0.35">
      <c r="B277" s="37">
        <v>12071</v>
      </c>
      <c r="C277" s="46" t="str">
        <f>"TOTVS SA"</f>
        <v>TOTVS SA</v>
      </c>
      <c r="D277" s="31" t="s">
        <v>879</v>
      </c>
      <c r="E277" s="31" t="s">
        <v>880</v>
      </c>
      <c r="F277" s="41">
        <v>2339238.7200000002</v>
      </c>
      <c r="G277" s="41">
        <v>0</v>
      </c>
      <c r="H277" s="41">
        <v>2339238.7200000002</v>
      </c>
    </row>
    <row r="278" spans="2:8" x14ac:dyDescent="0.35">
      <c r="B278" s="37">
        <v>12072</v>
      </c>
      <c r="C278" s="46" t="str">
        <f>"MN TECNOLOGIA E TREINAMENTO LTDA"</f>
        <v>MN TECNOLOGIA E TREINAMENTO LTDA</v>
      </c>
      <c r="D278" s="31" t="s">
        <v>879</v>
      </c>
      <c r="E278" s="31" t="s">
        <v>882</v>
      </c>
      <c r="F278" s="41">
        <v>111472</v>
      </c>
      <c r="G278" s="41">
        <v>0</v>
      </c>
      <c r="H278" s="41">
        <v>111472</v>
      </c>
    </row>
    <row r="279" spans="2:8" x14ac:dyDescent="0.35">
      <c r="B279" s="37">
        <v>12080</v>
      </c>
      <c r="C279" s="46" t="str">
        <f>"TOLENTINO ADVOGADOS"</f>
        <v>TOLENTINO ADVOGADOS</v>
      </c>
      <c r="D279" s="31" t="s">
        <v>533</v>
      </c>
      <c r="E279" s="31" t="s">
        <v>857</v>
      </c>
      <c r="F279" s="41">
        <v>1900000</v>
      </c>
      <c r="G279" s="41">
        <v>0</v>
      </c>
      <c r="H279" s="41">
        <v>1900000</v>
      </c>
    </row>
    <row r="280" spans="2:8" x14ac:dyDescent="0.35">
      <c r="B280" s="37">
        <v>12082</v>
      </c>
      <c r="C280" s="46" t="str">
        <f>"ASSOCIACAO  NACIONAL DO MINISTERIO PUBLICO DE CONTAS"</f>
        <v>ASSOCIACAO  NACIONAL DO MINISTERIO PUBLICO DE CONTAS</v>
      </c>
      <c r="D280" s="31" t="s">
        <v>661</v>
      </c>
      <c r="E280" s="31" t="s">
        <v>884</v>
      </c>
      <c r="F280" s="41">
        <v>150000</v>
      </c>
      <c r="G280" s="41">
        <v>0</v>
      </c>
      <c r="H280" s="41">
        <v>150000</v>
      </c>
    </row>
    <row r="281" spans="2:8" ht="15" thickBot="1" x14ac:dyDescent="0.4">
      <c r="B281" s="38">
        <v>100003</v>
      </c>
      <c r="C281" s="47" t="str">
        <f>"FUNDACAO CULTURAL ACIA"</f>
        <v>FUNDACAO CULTURAL ACIA</v>
      </c>
      <c r="D281" s="33" t="s">
        <v>493</v>
      </c>
      <c r="E281" s="33" t="s">
        <v>281</v>
      </c>
      <c r="F281" s="42">
        <v>350000</v>
      </c>
      <c r="G281" s="42">
        <v>0</v>
      </c>
      <c r="H281" s="42">
        <v>350000</v>
      </c>
    </row>
  </sheetData>
  <autoFilter ref="H1:H4" xr:uid="{710D4D02-506F-4CD5-A8EE-2CB5CF4958E5}"/>
  <mergeCells count="1">
    <mergeCell ref="B1:H3"/>
  </mergeCells>
  <printOptions horizontalCentered="1"/>
  <pageMargins left="0.70866141732283472" right="0.70866141732283472" top="1.1811023622047245" bottom="0.70866141732283472" header="0.39370078740157483" footer="0.19685039370078741"/>
  <pageSetup paperSize="9" scale="82" fitToHeight="0" orientation="landscape" r:id="rId1"/>
  <headerFooter>
    <oddHeader>&amp;L&amp;G&amp;"-,Negrito" Agosto/2026 - GECOP</oddHeader>
    <oddFooter>&amp;CCompanhia de Desenvolvimento de Minas Gerais - Codemge
Rodovia Papa João Paulo II, 4001, 6º andar do Edifício Gerais Cidade Administrativa de Minas Gerais Serra Verde - CEP 31630-901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29C8D-1A13-4AFE-BDD1-63491F38F965}">
  <dimension ref="A1:R290"/>
  <sheetViews>
    <sheetView topLeftCell="A251" workbookViewId="0">
      <selection activeCell="B286" sqref="B286"/>
    </sheetView>
  </sheetViews>
  <sheetFormatPr defaultRowHeight="14.5" x14ac:dyDescent="0.35"/>
  <cols>
    <col min="1" max="1" width="8.7265625" style="34"/>
    <col min="2" max="2" width="60.6328125" customWidth="1"/>
    <col min="3" max="3" width="14.36328125" style="34" customWidth="1"/>
    <col min="4" max="4" width="16.6328125" style="34" customWidth="1"/>
    <col min="5" max="5" width="22.81640625" style="43" customWidth="1"/>
    <col min="6" max="6" width="20.90625" customWidth="1"/>
    <col min="7" max="7" width="19.08984375" customWidth="1"/>
    <col min="8" max="8" width="20.453125" customWidth="1"/>
    <col min="9" max="9" width="22.81640625" customWidth="1"/>
    <col min="10" max="10" width="20.90625" customWidth="1"/>
    <col min="11" max="11" width="19.08984375" customWidth="1"/>
    <col min="12" max="12" width="15.54296875" customWidth="1"/>
    <col min="13" max="13" width="29.36328125" customWidth="1"/>
    <col min="14" max="14" width="26.1796875" customWidth="1"/>
    <col min="15" max="15" width="19" customWidth="1"/>
    <col min="16" max="16" width="21.81640625" customWidth="1"/>
    <col min="18" max="18" width="19" customWidth="1"/>
  </cols>
  <sheetData>
    <row r="1" spans="1:18" ht="15" thickBot="1" x14ac:dyDescent="0.4">
      <c r="A1" s="35" t="s">
        <v>6</v>
      </c>
      <c r="B1" s="16" t="s">
        <v>885</v>
      </c>
      <c r="C1" s="29" t="s">
        <v>7</v>
      </c>
      <c r="D1" s="29" t="s">
        <v>8</v>
      </c>
      <c r="E1" s="39" t="s">
        <v>886</v>
      </c>
      <c r="F1" s="15" t="s">
        <v>887</v>
      </c>
      <c r="G1" s="15" t="s">
        <v>888</v>
      </c>
      <c r="H1" s="16"/>
      <c r="I1" s="15" t="s">
        <v>646</v>
      </c>
      <c r="J1" s="15" t="s">
        <v>647</v>
      </c>
      <c r="K1" s="15" t="s">
        <v>0</v>
      </c>
      <c r="L1" s="15" t="s">
        <v>648</v>
      </c>
      <c r="M1" s="15" t="s">
        <v>649</v>
      </c>
      <c r="N1" s="15" t="s">
        <v>650</v>
      </c>
      <c r="O1" s="15" t="s">
        <v>7</v>
      </c>
      <c r="P1" s="15" t="s">
        <v>8</v>
      </c>
      <c r="Q1" s="16" t="s">
        <v>651</v>
      </c>
      <c r="R1" s="15" t="s">
        <v>7</v>
      </c>
    </row>
    <row r="2" spans="1:18" x14ac:dyDescent="0.35">
      <c r="A2" s="36">
        <v>100</v>
      </c>
      <c r="B2" s="17" t="str">
        <f>"INSTITUTO DE DESENVOLVIMENTO INTEGRADO DE MINAS GERAISINDI"</f>
        <v>INSTITUTO DE DESENVOLVIMENTO INTEGRADO DE MINAS GERAISINDI</v>
      </c>
      <c r="C2" s="30">
        <v>42736</v>
      </c>
      <c r="D2" s="30" t="s">
        <v>14</v>
      </c>
      <c r="E2" s="40">
        <v>103622019.26000001</v>
      </c>
      <c r="F2" s="40">
        <v>93336239.239999995</v>
      </c>
      <c r="G2" s="40">
        <v>10285780.02</v>
      </c>
      <c r="H2" s="17"/>
      <c r="I2" s="44">
        <v>103622019.26000001</v>
      </c>
      <c r="J2" s="19" t="s">
        <v>11</v>
      </c>
      <c r="K2" s="18" t="s">
        <v>12</v>
      </c>
      <c r="L2" s="18" t="s">
        <v>13</v>
      </c>
      <c r="M2" s="18" t="s">
        <v>11</v>
      </c>
      <c r="N2" s="18" t="s">
        <v>12</v>
      </c>
      <c r="O2" s="20">
        <v>42736</v>
      </c>
      <c r="P2" s="20" t="s">
        <v>14</v>
      </c>
      <c r="Q2" s="17" t="s">
        <v>652</v>
      </c>
      <c r="R2" s="20">
        <v>42736</v>
      </c>
    </row>
    <row r="3" spans="1:18" x14ac:dyDescent="0.35">
      <c r="A3" s="37">
        <v>1380</v>
      </c>
      <c r="B3" s="21" t="str">
        <f>"COMPANHIA BRASILEIRA DE METALURGIA E MINERACAO"</f>
        <v>COMPANHIA BRASILEIRA DE METALURGIA E MINERACAO</v>
      </c>
      <c r="C3" s="31">
        <v>42005</v>
      </c>
      <c r="D3" s="31" t="s">
        <v>14</v>
      </c>
      <c r="E3" s="41">
        <v>3969763.35</v>
      </c>
      <c r="F3" s="41">
        <v>1367115.41</v>
      </c>
      <c r="G3" s="41">
        <v>2602647.94</v>
      </c>
      <c r="H3" s="21"/>
      <c r="I3" s="45">
        <v>3969763.35</v>
      </c>
      <c r="J3" s="23" t="s">
        <v>17</v>
      </c>
      <c r="K3" s="22" t="s">
        <v>18</v>
      </c>
      <c r="L3" s="22" t="s">
        <v>13</v>
      </c>
      <c r="M3" s="22" t="s">
        <v>17</v>
      </c>
      <c r="N3" s="22" t="s">
        <v>18</v>
      </c>
      <c r="O3" s="24">
        <v>42005</v>
      </c>
      <c r="P3" s="24" t="s">
        <v>14</v>
      </c>
      <c r="Q3" s="21" t="s">
        <v>652</v>
      </c>
      <c r="R3" s="24">
        <v>42005</v>
      </c>
    </row>
    <row r="4" spans="1:18" x14ac:dyDescent="0.35">
      <c r="A4" s="37">
        <v>2588</v>
      </c>
      <c r="B4" s="21" t="str">
        <f>"SACHA CALMON MISABEL DERZI  CONSULTORES"</f>
        <v>SACHA CALMON MISABEL DERZI  CONSULTORES</v>
      </c>
      <c r="C4" s="31" t="s">
        <v>21</v>
      </c>
      <c r="D4" s="31" t="s">
        <v>22</v>
      </c>
      <c r="E4" s="41">
        <v>152611.34</v>
      </c>
      <c r="F4" s="41">
        <v>142611.34</v>
      </c>
      <c r="G4" s="41">
        <v>10000</v>
      </c>
      <c r="H4" s="21"/>
      <c r="I4" s="45">
        <v>152611.34</v>
      </c>
      <c r="J4" s="23" t="s">
        <v>19</v>
      </c>
      <c r="K4" s="22" t="s">
        <v>20</v>
      </c>
      <c r="L4" s="22" t="s">
        <v>13</v>
      </c>
      <c r="M4" s="22" t="s">
        <v>19</v>
      </c>
      <c r="N4" s="22" t="s">
        <v>20</v>
      </c>
      <c r="O4" s="24" t="s">
        <v>21</v>
      </c>
      <c r="P4" s="24" t="s">
        <v>22</v>
      </c>
      <c r="Q4" s="21" t="s">
        <v>652</v>
      </c>
      <c r="R4" s="24" t="s">
        <v>21</v>
      </c>
    </row>
    <row r="5" spans="1:18" x14ac:dyDescent="0.35">
      <c r="A5" s="37">
        <v>3300</v>
      </c>
      <c r="B5" s="21" t="str">
        <f>"CONSORCIO GESTOR MINASCENTRO"</f>
        <v>CONSORCIO GESTOR MINASCENTRO</v>
      </c>
      <c r="C5" s="31" t="s">
        <v>26</v>
      </c>
      <c r="D5" s="31" t="s">
        <v>27</v>
      </c>
      <c r="E5" s="41">
        <v>1208760</v>
      </c>
      <c r="F5" s="41">
        <v>58620</v>
      </c>
      <c r="G5" s="41">
        <v>1150140</v>
      </c>
      <c r="H5" s="21"/>
      <c r="I5" s="45">
        <v>1208760</v>
      </c>
      <c r="J5" s="23" t="s">
        <v>24</v>
      </c>
      <c r="K5" s="22" t="s">
        <v>25</v>
      </c>
      <c r="L5" s="22" t="s">
        <v>13</v>
      </c>
      <c r="M5" s="22" t="s">
        <v>24</v>
      </c>
      <c r="N5" s="22" t="s">
        <v>25</v>
      </c>
      <c r="O5" s="24" t="s">
        <v>26</v>
      </c>
      <c r="P5" s="24" t="s">
        <v>27</v>
      </c>
      <c r="Q5" s="21" t="s">
        <v>652</v>
      </c>
      <c r="R5" s="24" t="s">
        <v>26</v>
      </c>
    </row>
    <row r="6" spans="1:18" x14ac:dyDescent="0.35">
      <c r="A6" s="37">
        <v>4239</v>
      </c>
      <c r="B6" s="21" t="str">
        <f>"POTTENCIAL SEGURADORA S A"</f>
        <v>POTTENCIAL SEGURADORA S A</v>
      </c>
      <c r="C6" s="31" t="s">
        <v>29</v>
      </c>
      <c r="D6" s="31">
        <v>47972</v>
      </c>
      <c r="E6" s="41">
        <v>625526</v>
      </c>
      <c r="F6" s="41">
        <v>625526</v>
      </c>
      <c r="G6" s="41">
        <v>0</v>
      </c>
      <c r="H6" s="21"/>
      <c r="I6" s="45">
        <v>625526</v>
      </c>
      <c r="J6" s="23" t="s">
        <v>28</v>
      </c>
      <c r="K6" s="22" t="s">
        <v>13</v>
      </c>
      <c r="L6" s="22" t="s">
        <v>13</v>
      </c>
      <c r="M6" s="22" t="s">
        <v>28</v>
      </c>
      <c r="N6" s="22" t="s">
        <v>13</v>
      </c>
      <c r="O6" s="24" t="s">
        <v>29</v>
      </c>
      <c r="P6" s="24">
        <v>47972</v>
      </c>
      <c r="Q6" s="21" t="s">
        <v>652</v>
      </c>
      <c r="R6" s="24" t="s">
        <v>29</v>
      </c>
    </row>
    <row r="7" spans="1:18" x14ac:dyDescent="0.35">
      <c r="A7" s="37">
        <v>4506</v>
      </c>
      <c r="B7" s="21" t="str">
        <f>"PREFEITURA MUNICIPAL DE LAGOA SANTA"</f>
        <v>PREFEITURA MUNICIPAL DE LAGOA SANTA</v>
      </c>
      <c r="C7" s="31" t="s">
        <v>31</v>
      </c>
      <c r="D7" s="31" t="s">
        <v>32</v>
      </c>
      <c r="E7" s="41">
        <v>3281932.19</v>
      </c>
      <c r="F7" s="41">
        <v>3281932.19</v>
      </c>
      <c r="G7" s="41">
        <v>0</v>
      </c>
      <c r="H7" s="21"/>
      <c r="I7" s="45">
        <v>3281932.19</v>
      </c>
      <c r="J7" s="23" t="s">
        <v>30</v>
      </c>
      <c r="K7" s="22" t="s">
        <v>13</v>
      </c>
      <c r="L7" s="22" t="s">
        <v>13</v>
      </c>
      <c r="M7" s="22" t="s">
        <v>30</v>
      </c>
      <c r="N7" s="22" t="s">
        <v>13</v>
      </c>
      <c r="O7" s="24" t="s">
        <v>31</v>
      </c>
      <c r="P7" s="24" t="s">
        <v>32</v>
      </c>
      <c r="Q7" s="21" t="s">
        <v>652</v>
      </c>
      <c r="R7" s="24" t="s">
        <v>31</v>
      </c>
    </row>
    <row r="8" spans="1:18" x14ac:dyDescent="0.35">
      <c r="A8" s="37">
        <v>5023</v>
      </c>
      <c r="B8" s="21" t="str">
        <f>"BANCO DO BRASIL S A"</f>
        <v>BANCO DO BRASIL S A</v>
      </c>
      <c r="C8" s="31" t="s">
        <v>34</v>
      </c>
      <c r="D8" s="31" t="s">
        <v>14</v>
      </c>
      <c r="E8" s="41">
        <v>4419</v>
      </c>
      <c r="F8" s="41">
        <v>0</v>
      </c>
      <c r="G8" s="41">
        <v>4419</v>
      </c>
      <c r="H8" s="21"/>
      <c r="I8" s="45">
        <v>4419</v>
      </c>
      <c r="J8" s="23" t="s">
        <v>16</v>
      </c>
      <c r="K8" s="22" t="s">
        <v>33</v>
      </c>
      <c r="L8" s="22" t="s">
        <v>13</v>
      </c>
      <c r="M8" s="22" t="s">
        <v>13</v>
      </c>
      <c r="N8" s="22" t="s">
        <v>33</v>
      </c>
      <c r="O8" s="24" t="s">
        <v>34</v>
      </c>
      <c r="P8" s="24" t="s">
        <v>14</v>
      </c>
      <c r="Q8" s="21" t="s">
        <v>652</v>
      </c>
      <c r="R8" s="24" t="s">
        <v>34</v>
      </c>
    </row>
    <row r="9" spans="1:18" x14ac:dyDescent="0.35">
      <c r="A9" s="37">
        <v>5358</v>
      </c>
      <c r="B9" s="21" t="str">
        <f>"ABUZZA FILMES EIRELI  ME"</f>
        <v>ABUZZA FILMES EIRELI  ME</v>
      </c>
      <c r="C9" s="31">
        <v>43253</v>
      </c>
      <c r="D9" s="31" t="s">
        <v>36</v>
      </c>
      <c r="E9" s="41">
        <v>102900</v>
      </c>
      <c r="F9" s="41">
        <v>0</v>
      </c>
      <c r="G9" s="41">
        <v>102900</v>
      </c>
      <c r="H9" s="21"/>
      <c r="I9" s="45">
        <v>102900</v>
      </c>
      <c r="J9" s="23" t="s">
        <v>16</v>
      </c>
      <c r="K9" s="22" t="s">
        <v>35</v>
      </c>
      <c r="L9" s="22" t="s">
        <v>13</v>
      </c>
      <c r="M9" s="22" t="s">
        <v>13</v>
      </c>
      <c r="N9" s="22" t="s">
        <v>35</v>
      </c>
      <c r="O9" s="24">
        <v>43253</v>
      </c>
      <c r="P9" s="24" t="s">
        <v>36</v>
      </c>
      <c r="Q9" s="21" t="s">
        <v>652</v>
      </c>
      <c r="R9" s="24">
        <v>43253</v>
      </c>
    </row>
    <row r="10" spans="1:18" x14ac:dyDescent="0.35">
      <c r="A10" s="37">
        <v>5359</v>
      </c>
      <c r="B10" s="21" t="str">
        <f>"BEZOURO COMUNICACAO CINE VIDEO LTDA  ME"</f>
        <v>BEZOURO COMUNICACAO CINE VIDEO LTDA  ME</v>
      </c>
      <c r="C10" s="31">
        <v>43253</v>
      </c>
      <c r="D10" s="31" t="s">
        <v>38</v>
      </c>
      <c r="E10" s="41">
        <v>7500</v>
      </c>
      <c r="F10" s="41">
        <v>7500</v>
      </c>
      <c r="G10" s="41">
        <v>0</v>
      </c>
      <c r="H10" s="21"/>
      <c r="I10" s="45">
        <v>7500</v>
      </c>
      <c r="J10" s="23" t="s">
        <v>37</v>
      </c>
      <c r="K10" s="22" t="s">
        <v>13</v>
      </c>
      <c r="L10" s="22" t="s">
        <v>13</v>
      </c>
      <c r="M10" s="22" t="s">
        <v>37</v>
      </c>
      <c r="N10" s="22" t="s">
        <v>13</v>
      </c>
      <c r="O10" s="24">
        <v>43253</v>
      </c>
      <c r="P10" s="24" t="s">
        <v>38</v>
      </c>
      <c r="Q10" s="21" t="s">
        <v>652</v>
      </c>
      <c r="R10" s="24">
        <v>43253</v>
      </c>
    </row>
    <row r="11" spans="1:18" x14ac:dyDescent="0.35">
      <c r="A11" s="37">
        <v>5372</v>
      </c>
      <c r="B11" s="21" t="str">
        <f>"QUARTO STUDIO PRODUCAO AUDIOVISUAL LTDA"</f>
        <v>QUARTO STUDIO PRODUCAO AUDIOVISUAL LTDA</v>
      </c>
      <c r="C11" s="31">
        <v>43283</v>
      </c>
      <c r="D11" s="31" t="s">
        <v>40</v>
      </c>
      <c r="E11" s="41">
        <v>52920</v>
      </c>
      <c r="F11" s="41">
        <v>52920</v>
      </c>
      <c r="G11" s="41">
        <v>0</v>
      </c>
      <c r="H11" s="21"/>
      <c r="I11" s="22" t="s">
        <v>39</v>
      </c>
      <c r="J11" s="23" t="s">
        <v>39</v>
      </c>
      <c r="K11" s="22" t="s">
        <v>13</v>
      </c>
      <c r="L11" s="22" t="s">
        <v>13</v>
      </c>
      <c r="M11" s="22" t="s">
        <v>39</v>
      </c>
      <c r="N11" s="22" t="s">
        <v>13</v>
      </c>
      <c r="O11" s="24">
        <v>43283</v>
      </c>
      <c r="P11" s="24" t="s">
        <v>40</v>
      </c>
      <c r="Q11" s="21" t="s">
        <v>652</v>
      </c>
      <c r="R11" s="24">
        <v>43283</v>
      </c>
    </row>
    <row r="12" spans="1:18" x14ac:dyDescent="0.35">
      <c r="A12" s="37">
        <v>5377</v>
      </c>
      <c r="B12" s="21" t="str">
        <f>"VASTO MUNDO LTDA"</f>
        <v>VASTO MUNDO LTDA</v>
      </c>
      <c r="C12" s="31">
        <v>43314</v>
      </c>
      <c r="D12" s="31" t="s">
        <v>41</v>
      </c>
      <c r="E12" s="41">
        <v>52920</v>
      </c>
      <c r="F12" s="41">
        <v>0</v>
      </c>
      <c r="G12" s="41">
        <v>52920</v>
      </c>
      <c r="H12" s="21"/>
      <c r="I12" s="22" t="s">
        <v>39</v>
      </c>
      <c r="J12" s="23" t="s">
        <v>16</v>
      </c>
      <c r="K12" s="22" t="s">
        <v>39</v>
      </c>
      <c r="L12" s="22" t="s">
        <v>13</v>
      </c>
      <c r="M12" s="22" t="s">
        <v>13</v>
      </c>
      <c r="N12" s="22" t="s">
        <v>39</v>
      </c>
      <c r="O12" s="24">
        <v>43314</v>
      </c>
      <c r="P12" s="24" t="s">
        <v>41</v>
      </c>
      <c r="Q12" s="21" t="s">
        <v>652</v>
      </c>
      <c r="R12" s="24">
        <v>43314</v>
      </c>
    </row>
    <row r="13" spans="1:18" x14ac:dyDescent="0.35">
      <c r="A13" s="37">
        <v>5381</v>
      </c>
      <c r="B13" s="21" t="str">
        <f>"VACA AMARELA PRODUCOES MULTIMIDIA LTDA"</f>
        <v>VACA AMARELA PRODUCOES MULTIMIDIA LTDA</v>
      </c>
      <c r="C13" s="31">
        <v>43314</v>
      </c>
      <c r="D13" s="31">
        <v>46509</v>
      </c>
      <c r="E13" s="41">
        <v>79203.600000000006</v>
      </c>
      <c r="F13" s="41">
        <v>79203.600000000006</v>
      </c>
      <c r="G13" s="41">
        <v>0</v>
      </c>
      <c r="H13" s="21"/>
      <c r="I13" s="22" t="s">
        <v>43</v>
      </c>
      <c r="J13" s="23" t="s">
        <v>43</v>
      </c>
      <c r="K13" s="22" t="s">
        <v>13</v>
      </c>
      <c r="L13" s="22" t="s">
        <v>13</v>
      </c>
      <c r="M13" s="22" t="s">
        <v>43</v>
      </c>
      <c r="N13" s="22" t="s">
        <v>13</v>
      </c>
      <c r="O13" s="24">
        <v>43314</v>
      </c>
      <c r="P13" s="24">
        <v>46509</v>
      </c>
      <c r="Q13" s="21" t="s">
        <v>652</v>
      </c>
      <c r="R13" s="24">
        <v>43314</v>
      </c>
    </row>
    <row r="14" spans="1:18" x14ac:dyDescent="0.35">
      <c r="A14" s="37">
        <v>10099</v>
      </c>
      <c r="B14" s="21" t="str">
        <f>"NUTRIBOM EMPREENDIMENTOS IMOBILIARIOS LTDA"</f>
        <v>NUTRIBOM EMPREENDIMENTOS IMOBILIARIOS LTDA</v>
      </c>
      <c r="C14" s="31">
        <v>43223</v>
      </c>
      <c r="D14" s="31">
        <v>46846</v>
      </c>
      <c r="E14" s="41">
        <v>92530000</v>
      </c>
      <c r="F14" s="41">
        <v>0</v>
      </c>
      <c r="G14" s="41">
        <v>92530000</v>
      </c>
      <c r="H14" s="21"/>
      <c r="I14" s="22" t="s">
        <v>44</v>
      </c>
      <c r="J14" s="23" t="s">
        <v>16</v>
      </c>
      <c r="K14" s="22" t="s">
        <v>44</v>
      </c>
      <c r="L14" s="22" t="s">
        <v>13</v>
      </c>
      <c r="M14" s="22" t="s">
        <v>13</v>
      </c>
      <c r="N14" s="22" t="s">
        <v>44</v>
      </c>
      <c r="O14" s="24">
        <v>43223</v>
      </c>
      <c r="P14" s="24">
        <v>46846</v>
      </c>
      <c r="Q14" s="21" t="s">
        <v>652</v>
      </c>
      <c r="R14" s="24">
        <v>43223</v>
      </c>
    </row>
    <row r="15" spans="1:18" x14ac:dyDescent="0.35">
      <c r="A15" s="37">
        <v>10457</v>
      </c>
      <c r="B15" s="21" t="str">
        <f>"VENTURA PRODUCOES AUDIOVISUAIS LTDA"</f>
        <v>VENTURA PRODUCOES AUDIOVISUAIS LTDA</v>
      </c>
      <c r="C15" s="31" t="s">
        <v>46</v>
      </c>
      <c r="D15" s="31" t="s">
        <v>653</v>
      </c>
      <c r="E15" s="41">
        <v>680000</v>
      </c>
      <c r="F15" s="41">
        <v>680000</v>
      </c>
      <c r="G15" s="41">
        <v>0</v>
      </c>
      <c r="H15" s="21"/>
      <c r="I15" s="22" t="s">
        <v>45</v>
      </c>
      <c r="J15" s="23" t="s">
        <v>45</v>
      </c>
      <c r="K15" s="22" t="s">
        <v>13</v>
      </c>
      <c r="L15" s="22" t="s">
        <v>13</v>
      </c>
      <c r="M15" s="22" t="s">
        <v>45</v>
      </c>
      <c r="N15" s="22" t="s">
        <v>13</v>
      </c>
      <c r="O15" s="24" t="s">
        <v>46</v>
      </c>
      <c r="P15" s="24" t="s">
        <v>653</v>
      </c>
      <c r="Q15" s="21" t="s">
        <v>652</v>
      </c>
      <c r="R15" s="24" t="s">
        <v>46</v>
      </c>
    </row>
    <row r="16" spans="1:18" x14ac:dyDescent="0.35">
      <c r="A16" s="37">
        <v>10606</v>
      </c>
      <c r="B16" s="21" t="str">
        <f>"RMX CONSERVADORA EIRELI  EPP"</f>
        <v>RMX CONSERVADORA EIRELI  EPP</v>
      </c>
      <c r="C16" s="31">
        <v>43618</v>
      </c>
      <c r="D16" s="31">
        <v>45079</v>
      </c>
      <c r="E16" s="41">
        <v>1150941.47</v>
      </c>
      <c r="F16" s="41">
        <v>1068829.1399999999</v>
      </c>
      <c r="G16" s="41">
        <v>82112.33</v>
      </c>
      <c r="H16" s="21"/>
      <c r="I16" s="22" t="s">
        <v>47</v>
      </c>
      <c r="J16" s="23" t="s">
        <v>48</v>
      </c>
      <c r="K16" s="22" t="s">
        <v>49</v>
      </c>
      <c r="L16" s="22" t="s">
        <v>13</v>
      </c>
      <c r="M16" s="22" t="s">
        <v>48</v>
      </c>
      <c r="N16" s="22" t="s">
        <v>49</v>
      </c>
      <c r="O16" s="24">
        <v>43618</v>
      </c>
      <c r="P16" s="24">
        <v>45079</v>
      </c>
      <c r="Q16" s="21" t="s">
        <v>652</v>
      </c>
      <c r="R16" s="24">
        <v>43618</v>
      </c>
    </row>
    <row r="17" spans="1:18" x14ac:dyDescent="0.35">
      <c r="A17" s="37">
        <v>10876</v>
      </c>
      <c r="B17" s="21" t="str">
        <f>"JULIA PERENCIN JUNQUEIRA  MEI"</f>
        <v>JULIA PERENCIN JUNQUEIRA  MEI</v>
      </c>
      <c r="C17" s="31" t="s">
        <v>51</v>
      </c>
      <c r="D17" s="31" t="s">
        <v>52</v>
      </c>
      <c r="E17" s="41">
        <v>336665.7</v>
      </c>
      <c r="F17" s="41">
        <v>0</v>
      </c>
      <c r="G17" s="41">
        <v>336665.7</v>
      </c>
      <c r="H17" s="21"/>
      <c r="I17" s="22" t="s">
        <v>50</v>
      </c>
      <c r="J17" s="23" t="s">
        <v>16</v>
      </c>
      <c r="K17" s="22" t="s">
        <v>50</v>
      </c>
      <c r="L17" s="22" t="s">
        <v>13</v>
      </c>
      <c r="M17" s="22" t="s">
        <v>13</v>
      </c>
      <c r="N17" s="22" t="s">
        <v>50</v>
      </c>
      <c r="O17" s="24" t="s">
        <v>51</v>
      </c>
      <c r="P17" s="24" t="s">
        <v>52</v>
      </c>
      <c r="Q17" s="21" t="s">
        <v>652</v>
      </c>
      <c r="R17" s="24" t="s">
        <v>51</v>
      </c>
    </row>
    <row r="18" spans="1:18" x14ac:dyDescent="0.35">
      <c r="A18" s="37">
        <v>11008</v>
      </c>
      <c r="B18" s="21" t="str">
        <f>"PRODEMGE  CIA DE TECNOL DA INFORMACAO DE MG"</f>
        <v>PRODEMGE  CIA DE TECNOL DA INFORMACAO DE MG</v>
      </c>
      <c r="C18" s="31" t="s">
        <v>657</v>
      </c>
      <c r="D18" s="31" t="s">
        <v>658</v>
      </c>
      <c r="E18" s="41">
        <v>1149481.9099999999</v>
      </c>
      <c r="F18" s="41">
        <v>564539.92000000004</v>
      </c>
      <c r="G18" s="41">
        <v>584941.99</v>
      </c>
      <c r="H18" s="21"/>
      <c r="I18" s="22" t="s">
        <v>654</v>
      </c>
      <c r="J18" s="23" t="s">
        <v>655</v>
      </c>
      <c r="K18" s="22" t="s">
        <v>656</v>
      </c>
      <c r="L18" s="22" t="s">
        <v>13</v>
      </c>
      <c r="M18" s="22" t="s">
        <v>655</v>
      </c>
      <c r="N18" s="22" t="s">
        <v>656</v>
      </c>
      <c r="O18" s="24" t="s">
        <v>657</v>
      </c>
      <c r="P18" s="24" t="s">
        <v>658</v>
      </c>
      <c r="Q18" s="21" t="s">
        <v>652</v>
      </c>
      <c r="R18" s="24" t="s">
        <v>657</v>
      </c>
    </row>
    <row r="19" spans="1:18" x14ac:dyDescent="0.35">
      <c r="A19" s="37">
        <v>11072</v>
      </c>
      <c r="B19" s="21" t="str">
        <f>"AGUA MINERAL NATURAL FONTE E VIDA LTDA"</f>
        <v>AGUA MINERAL NATURAL FONTE E VIDA LTDA</v>
      </c>
      <c r="C19" s="31" t="s">
        <v>56</v>
      </c>
      <c r="D19" s="31" t="s">
        <v>57</v>
      </c>
      <c r="E19" s="41">
        <v>44102.09</v>
      </c>
      <c r="F19" s="41">
        <v>28383.66</v>
      </c>
      <c r="G19" s="41">
        <v>15718.43</v>
      </c>
      <c r="H19" s="21"/>
      <c r="I19" s="22" t="s">
        <v>53</v>
      </c>
      <c r="J19" s="23" t="s">
        <v>54</v>
      </c>
      <c r="K19" s="22" t="s">
        <v>55</v>
      </c>
      <c r="L19" s="22" t="s">
        <v>13</v>
      </c>
      <c r="M19" s="22" t="s">
        <v>54</v>
      </c>
      <c r="N19" s="22" t="s">
        <v>55</v>
      </c>
      <c r="O19" s="24" t="s">
        <v>56</v>
      </c>
      <c r="P19" s="24" t="s">
        <v>57</v>
      </c>
      <c r="Q19" s="21" t="s">
        <v>652</v>
      </c>
      <c r="R19" s="24" t="s">
        <v>56</v>
      </c>
    </row>
    <row r="20" spans="1:18" x14ac:dyDescent="0.35">
      <c r="A20" s="37">
        <v>11084</v>
      </c>
      <c r="B20" s="21" t="str">
        <f>"PERFIL ENGENHARIA LTDA"</f>
        <v>PERFIL ENGENHARIA LTDA</v>
      </c>
      <c r="C20" s="31">
        <v>44147</v>
      </c>
      <c r="D20" s="31" t="s">
        <v>59</v>
      </c>
      <c r="E20" s="41">
        <v>70157372.079999998</v>
      </c>
      <c r="F20" s="41">
        <v>0</v>
      </c>
      <c r="G20" s="41">
        <v>70157372.079999998</v>
      </c>
      <c r="H20" s="21"/>
      <c r="I20" s="22" t="s">
        <v>58</v>
      </c>
      <c r="J20" s="23" t="s">
        <v>16</v>
      </c>
      <c r="K20" s="22" t="s">
        <v>58</v>
      </c>
      <c r="L20" s="22" t="s">
        <v>13</v>
      </c>
      <c r="M20" s="22" t="s">
        <v>13</v>
      </c>
      <c r="N20" s="22" t="s">
        <v>58</v>
      </c>
      <c r="O20" s="24">
        <v>44147</v>
      </c>
      <c r="P20" s="24" t="s">
        <v>59</v>
      </c>
      <c r="Q20" s="21" t="s">
        <v>652</v>
      </c>
      <c r="R20" s="24">
        <v>44147</v>
      </c>
    </row>
    <row r="21" spans="1:18" x14ac:dyDescent="0.35">
      <c r="A21" s="37">
        <v>11136</v>
      </c>
      <c r="B21" s="21" t="str">
        <f>"AGENCIA DE INTEGRACAO EMPRESA ESCOLA LTDA"</f>
        <v>AGENCIA DE INTEGRACAO EMPRESA ESCOLA LTDA</v>
      </c>
      <c r="C21" s="31" t="s">
        <v>61</v>
      </c>
      <c r="D21" s="31" t="s">
        <v>661</v>
      </c>
      <c r="E21" s="41">
        <v>33832.800000000003</v>
      </c>
      <c r="F21" s="41">
        <v>23175.81</v>
      </c>
      <c r="G21" s="41">
        <v>10656.99</v>
      </c>
      <c r="H21" s="21"/>
      <c r="I21" s="22" t="s">
        <v>60</v>
      </c>
      <c r="J21" s="23" t="s">
        <v>659</v>
      </c>
      <c r="K21" s="22" t="s">
        <v>660</v>
      </c>
      <c r="L21" s="22" t="s">
        <v>13</v>
      </c>
      <c r="M21" s="22" t="s">
        <v>659</v>
      </c>
      <c r="N21" s="22" t="s">
        <v>660</v>
      </c>
      <c r="O21" s="24" t="s">
        <v>61</v>
      </c>
      <c r="P21" s="24" t="s">
        <v>661</v>
      </c>
      <c r="Q21" s="21" t="s">
        <v>652</v>
      </c>
      <c r="R21" s="24" t="s">
        <v>61</v>
      </c>
    </row>
    <row r="22" spans="1:18" x14ac:dyDescent="0.35">
      <c r="A22" s="37">
        <v>11140</v>
      </c>
      <c r="B22" s="21" t="str">
        <f>"GONTIJO CALDAS  FLEURY ADVOGADOS ASSOCIADOS"</f>
        <v>GONTIJO CALDAS  FLEURY ADVOGADOS ASSOCIADOS</v>
      </c>
      <c r="C22" s="31" t="s">
        <v>65</v>
      </c>
      <c r="D22" s="31" t="s">
        <v>66</v>
      </c>
      <c r="E22" s="41">
        <v>40000</v>
      </c>
      <c r="F22" s="41">
        <v>32000</v>
      </c>
      <c r="G22" s="41">
        <v>8000</v>
      </c>
      <c r="H22" s="21"/>
      <c r="I22" s="22" t="s">
        <v>62</v>
      </c>
      <c r="J22" s="23" t="s">
        <v>63</v>
      </c>
      <c r="K22" s="22" t="s">
        <v>64</v>
      </c>
      <c r="L22" s="22" t="s">
        <v>13</v>
      </c>
      <c r="M22" s="22" t="s">
        <v>63</v>
      </c>
      <c r="N22" s="22" t="s">
        <v>64</v>
      </c>
      <c r="O22" s="24" t="s">
        <v>65</v>
      </c>
      <c r="P22" s="24" t="s">
        <v>66</v>
      </c>
      <c r="Q22" s="21" t="s">
        <v>652</v>
      </c>
      <c r="R22" s="24" t="s">
        <v>65</v>
      </c>
    </row>
    <row r="23" spans="1:18" x14ac:dyDescent="0.35">
      <c r="A23" s="37">
        <v>11154</v>
      </c>
      <c r="B23" s="21" t="str">
        <f>"SECRETARIA DE ESTADO DE GOVERNO"</f>
        <v>SECRETARIA DE ESTADO DE GOVERNO</v>
      </c>
      <c r="C23" s="31" t="s">
        <v>68</v>
      </c>
      <c r="D23" s="31" t="s">
        <v>69</v>
      </c>
      <c r="E23" s="41">
        <v>178028.48</v>
      </c>
      <c r="F23" s="41">
        <v>26131.84</v>
      </c>
      <c r="G23" s="41">
        <v>151896.64000000001</v>
      </c>
      <c r="H23" s="21"/>
      <c r="I23" s="22" t="s">
        <v>67</v>
      </c>
      <c r="J23" s="23" t="s">
        <v>662</v>
      </c>
      <c r="K23" s="22" t="s">
        <v>663</v>
      </c>
      <c r="L23" s="22" t="s">
        <v>13</v>
      </c>
      <c r="M23" s="22" t="s">
        <v>662</v>
      </c>
      <c r="N23" s="22" t="s">
        <v>663</v>
      </c>
      <c r="O23" s="24" t="s">
        <v>68</v>
      </c>
      <c r="P23" s="24" t="s">
        <v>69</v>
      </c>
      <c r="Q23" s="21" t="s">
        <v>652</v>
      </c>
      <c r="R23" s="24" t="s">
        <v>68</v>
      </c>
    </row>
    <row r="24" spans="1:18" x14ac:dyDescent="0.35">
      <c r="A24" s="37">
        <v>11155</v>
      </c>
      <c r="B24" s="21" t="str">
        <f>"GONTIJO CALDAS  FLEURY ADVOGADOS ASSOCIADOS"</f>
        <v>GONTIJO CALDAS  FLEURY ADVOGADOS ASSOCIADOS</v>
      </c>
      <c r="C24" s="31" t="s">
        <v>70</v>
      </c>
      <c r="D24" s="31" t="s">
        <v>66</v>
      </c>
      <c r="E24" s="41">
        <v>40000</v>
      </c>
      <c r="F24" s="41">
        <v>32000</v>
      </c>
      <c r="G24" s="41">
        <v>8000</v>
      </c>
      <c r="H24" s="21"/>
      <c r="I24" s="22" t="s">
        <v>62</v>
      </c>
      <c r="J24" s="23" t="s">
        <v>63</v>
      </c>
      <c r="K24" s="22" t="s">
        <v>64</v>
      </c>
      <c r="L24" s="22" t="s">
        <v>13</v>
      </c>
      <c r="M24" s="22" t="s">
        <v>63</v>
      </c>
      <c r="N24" s="22" t="s">
        <v>64</v>
      </c>
      <c r="O24" s="24" t="s">
        <v>70</v>
      </c>
      <c r="P24" s="24" t="s">
        <v>66</v>
      </c>
      <c r="Q24" s="21" t="s">
        <v>652</v>
      </c>
      <c r="R24" s="24" t="s">
        <v>70</v>
      </c>
    </row>
    <row r="25" spans="1:18" x14ac:dyDescent="0.35">
      <c r="A25" s="37">
        <v>11157</v>
      </c>
      <c r="B25" s="21" t="str">
        <f>"TRIUNFO SERVICOS LTDA ME"</f>
        <v>TRIUNFO SERVICOS LTDA ME</v>
      </c>
      <c r="C25" s="31">
        <v>44264</v>
      </c>
      <c r="D25" s="31">
        <v>46090</v>
      </c>
      <c r="E25" s="41">
        <v>3037289.45</v>
      </c>
      <c r="F25" s="41">
        <v>2998910.1394000002</v>
      </c>
      <c r="G25" s="41">
        <v>38379.310599999997</v>
      </c>
      <c r="H25" s="21"/>
      <c r="I25" s="22" t="s">
        <v>71</v>
      </c>
      <c r="J25" s="23" t="s">
        <v>664</v>
      </c>
      <c r="K25" s="22" t="s">
        <v>665</v>
      </c>
      <c r="L25" s="22" t="s">
        <v>13</v>
      </c>
      <c r="M25" s="22" t="s">
        <v>664</v>
      </c>
      <c r="N25" s="22" t="s">
        <v>665</v>
      </c>
      <c r="O25" s="24">
        <v>44264</v>
      </c>
      <c r="P25" s="24">
        <v>46090</v>
      </c>
      <c r="Q25" s="21" t="s">
        <v>652</v>
      </c>
      <c r="R25" s="24">
        <v>44264</v>
      </c>
    </row>
    <row r="26" spans="1:18" x14ac:dyDescent="0.35">
      <c r="A26" s="37">
        <v>11158</v>
      </c>
      <c r="B26" s="21" t="str">
        <f>"TRIUNFO SERVICOS LTDA ME"</f>
        <v>TRIUNFO SERVICOS LTDA ME</v>
      </c>
      <c r="C26" s="31">
        <v>44264</v>
      </c>
      <c r="D26" s="31">
        <v>46090</v>
      </c>
      <c r="E26" s="41">
        <v>435114.22</v>
      </c>
      <c r="F26" s="41">
        <v>428177.91999999998</v>
      </c>
      <c r="G26" s="41">
        <v>6936.3</v>
      </c>
      <c r="H26" s="21"/>
      <c r="I26" s="22" t="s">
        <v>72</v>
      </c>
      <c r="J26" s="23" t="s">
        <v>666</v>
      </c>
      <c r="K26" s="22" t="s">
        <v>667</v>
      </c>
      <c r="L26" s="22" t="s">
        <v>13</v>
      </c>
      <c r="M26" s="22" t="s">
        <v>666</v>
      </c>
      <c r="N26" s="22" t="s">
        <v>667</v>
      </c>
      <c r="O26" s="24">
        <v>44264</v>
      </c>
      <c r="P26" s="24">
        <v>46090</v>
      </c>
      <c r="Q26" s="21" t="s">
        <v>652</v>
      </c>
      <c r="R26" s="24">
        <v>44264</v>
      </c>
    </row>
    <row r="27" spans="1:18" x14ac:dyDescent="0.35">
      <c r="A27" s="37">
        <v>11159</v>
      </c>
      <c r="B27" s="21" t="str">
        <f>"TRIUNFO SERVICOS LTDA ME"</f>
        <v>TRIUNFO SERVICOS LTDA ME</v>
      </c>
      <c r="C27" s="31">
        <v>44264</v>
      </c>
      <c r="D27" s="31">
        <v>46090</v>
      </c>
      <c r="E27" s="41">
        <v>603438.67000000004</v>
      </c>
      <c r="F27" s="41">
        <v>593162.11</v>
      </c>
      <c r="G27" s="41">
        <v>10276.56</v>
      </c>
      <c r="H27" s="21"/>
      <c r="I27" s="22" t="s">
        <v>73</v>
      </c>
      <c r="J27" s="23" t="s">
        <v>668</v>
      </c>
      <c r="K27" s="22" t="s">
        <v>669</v>
      </c>
      <c r="L27" s="22" t="s">
        <v>13</v>
      </c>
      <c r="M27" s="22" t="s">
        <v>668</v>
      </c>
      <c r="N27" s="22" t="s">
        <v>669</v>
      </c>
      <c r="O27" s="24">
        <v>44264</v>
      </c>
      <c r="P27" s="24">
        <v>46090</v>
      </c>
      <c r="Q27" s="21" t="s">
        <v>652</v>
      </c>
      <c r="R27" s="24">
        <v>44264</v>
      </c>
    </row>
    <row r="28" spans="1:18" x14ac:dyDescent="0.35">
      <c r="A28" s="37">
        <v>11160</v>
      </c>
      <c r="B28" s="21" t="str">
        <f>"TOTVS SA"</f>
        <v>TOTVS SA</v>
      </c>
      <c r="C28" s="32" t="s">
        <v>75</v>
      </c>
      <c r="D28" s="32" t="s">
        <v>69</v>
      </c>
      <c r="E28" s="41">
        <v>1268877.04</v>
      </c>
      <c r="F28" s="41">
        <v>1002211.16</v>
      </c>
      <c r="G28" s="41">
        <v>266665.88</v>
      </c>
      <c r="H28" s="21"/>
      <c r="I28" s="22" t="s">
        <v>74</v>
      </c>
      <c r="J28" s="23" t="s">
        <v>670</v>
      </c>
      <c r="K28" s="22" t="s">
        <v>671</v>
      </c>
      <c r="L28" s="22" t="s">
        <v>13</v>
      </c>
      <c r="M28" s="22" t="s">
        <v>670</v>
      </c>
      <c r="N28" s="22" t="s">
        <v>671</v>
      </c>
      <c r="O28" s="21" t="s">
        <v>75</v>
      </c>
      <c r="P28" s="21" t="s">
        <v>69</v>
      </c>
      <c r="Q28" s="21" t="s">
        <v>652</v>
      </c>
      <c r="R28" s="21" t="s">
        <v>75</v>
      </c>
    </row>
    <row r="29" spans="1:18" x14ac:dyDescent="0.35">
      <c r="A29" s="37">
        <v>11196</v>
      </c>
      <c r="B29" s="21" t="str">
        <f>"TRIUNFO SERVICOS LTDA ME"</f>
        <v>TRIUNFO SERVICOS LTDA ME</v>
      </c>
      <c r="C29" s="31" t="s">
        <v>77</v>
      </c>
      <c r="D29" s="31" t="s">
        <v>78</v>
      </c>
      <c r="E29" s="41">
        <v>1947914.36</v>
      </c>
      <c r="F29" s="41">
        <v>1810748.55</v>
      </c>
      <c r="G29" s="41">
        <v>137165.81</v>
      </c>
      <c r="H29" s="21"/>
      <c r="I29" s="22" t="s">
        <v>76</v>
      </c>
      <c r="J29" s="23" t="s">
        <v>672</v>
      </c>
      <c r="K29" s="22" t="s">
        <v>673</v>
      </c>
      <c r="L29" s="22" t="s">
        <v>13</v>
      </c>
      <c r="M29" s="22" t="s">
        <v>672</v>
      </c>
      <c r="N29" s="22" t="s">
        <v>673</v>
      </c>
      <c r="O29" s="24" t="s">
        <v>77</v>
      </c>
      <c r="P29" s="24" t="s">
        <v>78</v>
      </c>
      <c r="Q29" s="21" t="s">
        <v>652</v>
      </c>
      <c r="R29" s="24" t="s">
        <v>77</v>
      </c>
    </row>
    <row r="30" spans="1:18" x14ac:dyDescent="0.35">
      <c r="A30" s="37">
        <v>11205</v>
      </c>
      <c r="B30" s="21" t="str">
        <f>"PRODEMGE  CIA DE TECNOL DA INFORMACAO DE MG"</f>
        <v>PRODEMGE  CIA DE TECNOL DA INFORMACAO DE MG</v>
      </c>
      <c r="C30" s="31">
        <v>44652</v>
      </c>
      <c r="D30" s="31">
        <v>46478</v>
      </c>
      <c r="E30" s="41">
        <v>9617723.4600000009</v>
      </c>
      <c r="F30" s="41">
        <v>5341509.8</v>
      </c>
      <c r="G30" s="41">
        <v>4276213.66</v>
      </c>
      <c r="H30" s="21"/>
      <c r="I30" s="22" t="s">
        <v>79</v>
      </c>
      <c r="J30" s="23" t="s">
        <v>674</v>
      </c>
      <c r="K30" s="22" t="s">
        <v>675</v>
      </c>
      <c r="L30" s="22" t="s">
        <v>13</v>
      </c>
      <c r="M30" s="22" t="s">
        <v>674</v>
      </c>
      <c r="N30" s="22" t="s">
        <v>675</v>
      </c>
      <c r="O30" s="24">
        <v>44652</v>
      </c>
      <c r="P30" s="24">
        <v>46478</v>
      </c>
      <c r="Q30" s="21" t="s">
        <v>652</v>
      </c>
      <c r="R30" s="24">
        <v>44652</v>
      </c>
    </row>
    <row r="31" spans="1:18" x14ac:dyDescent="0.35">
      <c r="A31" s="37">
        <v>11210</v>
      </c>
      <c r="B31" s="21" t="str">
        <f>"MATRIX COMERCIALIZADORA DE ENERGIA ELETR"</f>
        <v>MATRIX COMERCIALIZADORA DE ENERGIA ELETR</v>
      </c>
      <c r="C31" s="31" t="s">
        <v>83</v>
      </c>
      <c r="D31" s="31" t="s">
        <v>84</v>
      </c>
      <c r="E31" s="41">
        <v>10686200</v>
      </c>
      <c r="F31" s="41">
        <v>4430340.0999999996</v>
      </c>
      <c r="G31" s="41">
        <v>6255859.9000000004</v>
      </c>
      <c r="H31" s="21"/>
      <c r="I31" s="22" t="s">
        <v>80</v>
      </c>
      <c r="J31" s="23" t="s">
        <v>81</v>
      </c>
      <c r="K31" s="22" t="s">
        <v>82</v>
      </c>
      <c r="L31" s="22" t="s">
        <v>13</v>
      </c>
      <c r="M31" s="22" t="s">
        <v>81</v>
      </c>
      <c r="N31" s="22" t="s">
        <v>82</v>
      </c>
      <c r="O31" s="24" t="s">
        <v>83</v>
      </c>
      <c r="P31" s="24" t="s">
        <v>84</v>
      </c>
      <c r="Q31" s="21" t="s">
        <v>652</v>
      </c>
      <c r="R31" s="24" t="s">
        <v>83</v>
      </c>
    </row>
    <row r="32" spans="1:18" x14ac:dyDescent="0.35">
      <c r="A32" s="37">
        <v>11211</v>
      </c>
      <c r="B32" s="21" t="str">
        <f>"CORREIA LIMA ENGENHARIA LTDA"</f>
        <v>CORREIA LIMA ENGENHARIA LTDA</v>
      </c>
      <c r="C32" s="31" t="s">
        <v>86</v>
      </c>
      <c r="D32" s="31" t="s">
        <v>14</v>
      </c>
      <c r="E32" s="41">
        <v>24900</v>
      </c>
      <c r="F32" s="41">
        <v>24900</v>
      </c>
      <c r="G32" s="41">
        <v>0</v>
      </c>
      <c r="H32" s="21"/>
      <c r="I32" s="22" t="s">
        <v>85</v>
      </c>
      <c r="J32" s="23" t="s">
        <v>85</v>
      </c>
      <c r="K32" s="22" t="s">
        <v>13</v>
      </c>
      <c r="L32" s="22" t="s">
        <v>13</v>
      </c>
      <c r="M32" s="22" t="s">
        <v>85</v>
      </c>
      <c r="N32" s="22" t="s">
        <v>13</v>
      </c>
      <c r="O32" s="24" t="s">
        <v>86</v>
      </c>
      <c r="P32" s="24" t="s">
        <v>14</v>
      </c>
      <c r="Q32" s="21" t="s">
        <v>652</v>
      </c>
      <c r="R32" s="24" t="s">
        <v>86</v>
      </c>
    </row>
    <row r="33" spans="1:18" x14ac:dyDescent="0.35">
      <c r="A33" s="37">
        <v>11215</v>
      </c>
      <c r="B33" s="21" t="str">
        <f>"FLD SA"</f>
        <v>FLD SA</v>
      </c>
      <c r="C33" s="31" t="s">
        <v>88</v>
      </c>
      <c r="D33" s="31" t="s">
        <v>89</v>
      </c>
      <c r="E33" s="41">
        <v>23278165.5</v>
      </c>
      <c r="F33" s="41">
        <v>15632714.210000001</v>
      </c>
      <c r="G33" s="41">
        <v>7645451.29</v>
      </c>
      <c r="H33" s="21"/>
      <c r="I33" s="22" t="s">
        <v>87</v>
      </c>
      <c r="J33" s="23" t="s">
        <v>676</v>
      </c>
      <c r="K33" s="22" t="s">
        <v>677</v>
      </c>
      <c r="L33" s="22" t="s">
        <v>13</v>
      </c>
      <c r="M33" s="22" t="s">
        <v>676</v>
      </c>
      <c r="N33" s="22" t="s">
        <v>677</v>
      </c>
      <c r="O33" s="24" t="s">
        <v>88</v>
      </c>
      <c r="P33" s="24" t="s">
        <v>89</v>
      </c>
      <c r="Q33" s="21" t="s">
        <v>652</v>
      </c>
      <c r="R33" s="24" t="s">
        <v>88</v>
      </c>
    </row>
    <row r="34" spans="1:18" x14ac:dyDescent="0.35">
      <c r="A34" s="37">
        <v>11217</v>
      </c>
      <c r="B34" s="21" t="str">
        <f>"PRIME CONSULTORIA E ASSESSORIA EMPRESARIAL"</f>
        <v>PRIME CONSULTORIA E ASSESSORIA EMPRESARIAL</v>
      </c>
      <c r="C34" s="31" t="s">
        <v>91</v>
      </c>
      <c r="D34" s="31" t="s">
        <v>92</v>
      </c>
      <c r="E34" s="41">
        <v>522522.05</v>
      </c>
      <c r="F34" s="41">
        <v>469436.68</v>
      </c>
      <c r="G34" s="41">
        <v>53085.37</v>
      </c>
      <c r="H34" s="21"/>
      <c r="I34" s="22" t="s">
        <v>90</v>
      </c>
      <c r="J34" s="23" t="s">
        <v>678</v>
      </c>
      <c r="K34" s="22" t="s">
        <v>679</v>
      </c>
      <c r="L34" s="22" t="s">
        <v>13</v>
      </c>
      <c r="M34" s="22" t="s">
        <v>678</v>
      </c>
      <c r="N34" s="22" t="s">
        <v>679</v>
      </c>
      <c r="O34" s="24" t="s">
        <v>91</v>
      </c>
      <c r="P34" s="24" t="s">
        <v>92</v>
      </c>
      <c r="Q34" s="21" t="s">
        <v>652</v>
      </c>
      <c r="R34" s="24" t="s">
        <v>91</v>
      </c>
    </row>
    <row r="35" spans="1:18" x14ac:dyDescent="0.35">
      <c r="A35" s="37">
        <v>11218</v>
      </c>
      <c r="B35" s="21" t="str">
        <f>"SANTANA RASTREAMENTO E MONITORAMENTO LTDA"</f>
        <v>SANTANA RASTREAMENTO E MONITORAMENTO LTDA</v>
      </c>
      <c r="C35" s="31" t="s">
        <v>86</v>
      </c>
      <c r="D35" s="31" t="s">
        <v>94</v>
      </c>
      <c r="E35" s="41">
        <v>44668</v>
      </c>
      <c r="F35" s="41">
        <v>36808</v>
      </c>
      <c r="G35" s="41">
        <v>7860</v>
      </c>
      <c r="H35" s="21"/>
      <c r="I35" s="22" t="s">
        <v>93</v>
      </c>
      <c r="J35" s="23" t="s">
        <v>680</v>
      </c>
      <c r="K35" s="22" t="s">
        <v>681</v>
      </c>
      <c r="L35" s="22" t="s">
        <v>13</v>
      </c>
      <c r="M35" s="22" t="s">
        <v>680</v>
      </c>
      <c r="N35" s="22" t="s">
        <v>681</v>
      </c>
      <c r="O35" s="24" t="s">
        <v>86</v>
      </c>
      <c r="P35" s="24" t="s">
        <v>94</v>
      </c>
      <c r="Q35" s="21" t="s">
        <v>652</v>
      </c>
      <c r="R35" s="24" t="s">
        <v>86</v>
      </c>
    </row>
    <row r="36" spans="1:18" x14ac:dyDescent="0.35">
      <c r="A36" s="37">
        <v>11221</v>
      </c>
      <c r="B36" s="21" t="str">
        <f>"JULIO CESAR DE LIMA NETO"</f>
        <v>JULIO CESAR DE LIMA NETO</v>
      </c>
      <c r="C36" s="31" t="s">
        <v>98</v>
      </c>
      <c r="D36" s="31" t="s">
        <v>99</v>
      </c>
      <c r="E36" s="41">
        <v>13831.1</v>
      </c>
      <c r="F36" s="41">
        <v>12275.32</v>
      </c>
      <c r="G36" s="41">
        <v>1555.78</v>
      </c>
      <c r="H36" s="21"/>
      <c r="I36" s="22" t="s">
        <v>95</v>
      </c>
      <c r="J36" s="23" t="s">
        <v>96</v>
      </c>
      <c r="K36" s="22" t="s">
        <v>97</v>
      </c>
      <c r="L36" s="22" t="s">
        <v>13</v>
      </c>
      <c r="M36" s="22" t="s">
        <v>96</v>
      </c>
      <c r="N36" s="22" t="s">
        <v>97</v>
      </c>
      <c r="O36" s="24" t="s">
        <v>98</v>
      </c>
      <c r="P36" s="24" t="s">
        <v>99</v>
      </c>
      <c r="Q36" s="21" t="s">
        <v>652</v>
      </c>
      <c r="R36" s="24" t="s">
        <v>98</v>
      </c>
    </row>
    <row r="37" spans="1:18" x14ac:dyDescent="0.35">
      <c r="A37" s="37">
        <v>11225</v>
      </c>
      <c r="B37" s="21" t="str">
        <f>"CENTRO DE DESENVOLVIMENTO DA TECNOLOGIA NUCLEAR"</f>
        <v>CENTRO DE DESENVOLVIMENTO DA TECNOLOGIA NUCLEAR</v>
      </c>
      <c r="C37" s="31">
        <v>44713</v>
      </c>
      <c r="D37" s="31">
        <v>52018</v>
      </c>
      <c r="E37" s="41">
        <v>300000</v>
      </c>
      <c r="F37" s="41">
        <v>300000</v>
      </c>
      <c r="G37" s="41">
        <v>0</v>
      </c>
      <c r="H37" s="21"/>
      <c r="I37" s="22" t="s">
        <v>100</v>
      </c>
      <c r="J37" s="23" t="s">
        <v>100</v>
      </c>
      <c r="K37" s="22" t="s">
        <v>13</v>
      </c>
      <c r="L37" s="22" t="s">
        <v>13</v>
      </c>
      <c r="M37" s="22" t="s">
        <v>100</v>
      </c>
      <c r="N37" s="22" t="s">
        <v>13</v>
      </c>
      <c r="O37" s="24">
        <v>44713</v>
      </c>
      <c r="P37" s="24">
        <v>52018</v>
      </c>
      <c r="Q37" s="21" t="s">
        <v>652</v>
      </c>
      <c r="R37" s="24">
        <v>44713</v>
      </c>
    </row>
    <row r="38" spans="1:18" x14ac:dyDescent="0.35">
      <c r="A38" s="37">
        <v>11233</v>
      </c>
      <c r="B38" s="21" t="str">
        <f>"LEGAL CONTROLE TECNOLOGIA PARA GESTAO EMPRESARIAL LTDA"</f>
        <v>LEGAL CONTROLE TECNOLOGIA PARA GESTAO EMPRESARIAL LTDA</v>
      </c>
      <c r="C38" s="31" t="s">
        <v>102</v>
      </c>
      <c r="D38" s="31" t="s">
        <v>103</v>
      </c>
      <c r="E38" s="41">
        <v>46340.17</v>
      </c>
      <c r="F38" s="41">
        <v>40794.36</v>
      </c>
      <c r="G38" s="41">
        <v>5545.81</v>
      </c>
      <c r="H38" s="21"/>
      <c r="I38" s="22" t="s">
        <v>101</v>
      </c>
      <c r="J38" s="23" t="s">
        <v>682</v>
      </c>
      <c r="K38" s="22" t="s">
        <v>683</v>
      </c>
      <c r="L38" s="22" t="s">
        <v>13</v>
      </c>
      <c r="M38" s="22" t="s">
        <v>682</v>
      </c>
      <c r="N38" s="22" t="s">
        <v>683</v>
      </c>
      <c r="O38" s="24" t="s">
        <v>102</v>
      </c>
      <c r="P38" s="24" t="s">
        <v>103</v>
      </c>
      <c r="Q38" s="21" t="s">
        <v>652</v>
      </c>
      <c r="R38" s="24" t="s">
        <v>102</v>
      </c>
    </row>
    <row r="39" spans="1:18" x14ac:dyDescent="0.35">
      <c r="A39" s="37">
        <v>11241</v>
      </c>
      <c r="B39" s="21" t="str">
        <f>"MAXIMO INFORMADOR JURIDICO LTDA"</f>
        <v>MAXIMO INFORMADOR JURIDICO LTDA</v>
      </c>
      <c r="C39" s="31">
        <v>44777</v>
      </c>
      <c r="D39" s="31">
        <v>46603</v>
      </c>
      <c r="E39" s="41">
        <v>15918.12</v>
      </c>
      <c r="F39" s="41">
        <v>13648.65</v>
      </c>
      <c r="G39" s="41">
        <v>2269.4699999999998</v>
      </c>
      <c r="H39" s="21"/>
      <c r="I39" s="22" t="s">
        <v>104</v>
      </c>
      <c r="J39" s="23" t="s">
        <v>684</v>
      </c>
      <c r="K39" s="22" t="s">
        <v>685</v>
      </c>
      <c r="L39" s="22" t="s">
        <v>13</v>
      </c>
      <c r="M39" s="22" t="s">
        <v>684</v>
      </c>
      <c r="N39" s="22" t="s">
        <v>685</v>
      </c>
      <c r="O39" s="24">
        <v>44777</v>
      </c>
      <c r="P39" s="24">
        <v>46603</v>
      </c>
      <c r="Q39" s="21" t="s">
        <v>652</v>
      </c>
      <c r="R39" s="24">
        <v>44777</v>
      </c>
    </row>
    <row r="40" spans="1:18" x14ac:dyDescent="0.35">
      <c r="A40" s="37">
        <v>11247</v>
      </c>
      <c r="B40" s="21" t="str">
        <f>"MULTI CULT PROMOCOES LTDA"</f>
        <v>MULTI CULT PROMOCOES LTDA</v>
      </c>
      <c r="C40" s="31">
        <v>44685</v>
      </c>
      <c r="D40" s="31">
        <v>46481</v>
      </c>
      <c r="E40" s="41">
        <v>953640</v>
      </c>
      <c r="F40" s="41">
        <v>0</v>
      </c>
      <c r="G40" s="41">
        <v>953640</v>
      </c>
      <c r="H40" s="21"/>
      <c r="I40" s="22" t="s">
        <v>107</v>
      </c>
      <c r="J40" s="23" t="s">
        <v>16</v>
      </c>
      <c r="K40" s="22" t="s">
        <v>107</v>
      </c>
      <c r="L40" s="22" t="s">
        <v>13</v>
      </c>
      <c r="M40" s="22" t="s">
        <v>13</v>
      </c>
      <c r="N40" s="22" t="s">
        <v>107</v>
      </c>
      <c r="O40" s="24">
        <v>44685</v>
      </c>
      <c r="P40" s="24">
        <v>46481</v>
      </c>
      <c r="Q40" s="21" t="s">
        <v>652</v>
      </c>
      <c r="R40" s="24">
        <v>44685</v>
      </c>
    </row>
    <row r="41" spans="1:18" x14ac:dyDescent="0.35">
      <c r="A41" s="37">
        <v>11260</v>
      </c>
      <c r="B41" s="21" t="str">
        <f>"DF STAMATO E CIA LTDA"</f>
        <v>DF STAMATO E CIA LTDA</v>
      </c>
      <c r="C41" s="31">
        <v>44840</v>
      </c>
      <c r="D41" s="31">
        <v>46666</v>
      </c>
      <c r="E41" s="41">
        <v>126113.64</v>
      </c>
      <c r="F41" s="41">
        <v>100827.57</v>
      </c>
      <c r="G41" s="41">
        <v>25286.07</v>
      </c>
      <c r="H41" s="21"/>
      <c r="I41" s="22" t="s">
        <v>108</v>
      </c>
      <c r="J41" s="23" t="s">
        <v>686</v>
      </c>
      <c r="K41" s="22" t="s">
        <v>687</v>
      </c>
      <c r="L41" s="22" t="s">
        <v>13</v>
      </c>
      <c r="M41" s="22" t="s">
        <v>686</v>
      </c>
      <c r="N41" s="22" t="s">
        <v>687</v>
      </c>
      <c r="O41" s="24">
        <v>44840</v>
      </c>
      <c r="P41" s="24">
        <v>46666</v>
      </c>
      <c r="Q41" s="21" t="s">
        <v>652</v>
      </c>
      <c r="R41" s="24">
        <v>44840</v>
      </c>
    </row>
    <row r="42" spans="1:18" x14ac:dyDescent="0.35">
      <c r="A42" s="37">
        <v>11272</v>
      </c>
      <c r="B42" s="21" t="str">
        <f>"GREENSTONE DESENVOLVIMENTO E PROCESSAMENTO DE DADOS MINERAIS LTDA  ME"</f>
        <v>GREENSTONE DESENVOLVIMENTO E PROCESSAMENTO DE DADOS MINERAIS LTDA  ME</v>
      </c>
      <c r="C42" s="31" t="s">
        <v>111</v>
      </c>
      <c r="D42" s="31" t="s">
        <v>112</v>
      </c>
      <c r="E42" s="41">
        <v>126169.89</v>
      </c>
      <c r="F42" s="41">
        <v>113504.73</v>
      </c>
      <c r="G42" s="41">
        <v>12665.16</v>
      </c>
      <c r="H42" s="21"/>
      <c r="I42" s="22" t="s">
        <v>110</v>
      </c>
      <c r="J42" s="23" t="s">
        <v>688</v>
      </c>
      <c r="K42" s="22" t="s">
        <v>689</v>
      </c>
      <c r="L42" s="22" t="s">
        <v>13</v>
      </c>
      <c r="M42" s="22" t="s">
        <v>688</v>
      </c>
      <c r="N42" s="22" t="s">
        <v>689</v>
      </c>
      <c r="O42" s="24" t="s">
        <v>111</v>
      </c>
      <c r="P42" s="24" t="s">
        <v>112</v>
      </c>
      <c r="Q42" s="21" t="s">
        <v>652</v>
      </c>
      <c r="R42" s="24" t="s">
        <v>111</v>
      </c>
    </row>
    <row r="43" spans="1:18" x14ac:dyDescent="0.35">
      <c r="A43" s="37">
        <v>11276</v>
      </c>
      <c r="B43" s="21" t="str">
        <f>"PINHEIRO NETO ADVOGADOS"</f>
        <v>PINHEIRO NETO ADVOGADOS</v>
      </c>
      <c r="C43" s="31" t="s">
        <v>116</v>
      </c>
      <c r="D43" s="31" t="s">
        <v>117</v>
      </c>
      <c r="E43" s="41">
        <v>2175000</v>
      </c>
      <c r="F43" s="41">
        <v>167100</v>
      </c>
      <c r="G43" s="41">
        <v>2007900</v>
      </c>
      <c r="H43" s="21"/>
      <c r="I43" s="22" t="s">
        <v>113</v>
      </c>
      <c r="J43" s="23" t="s">
        <v>114</v>
      </c>
      <c r="K43" s="22" t="s">
        <v>115</v>
      </c>
      <c r="L43" s="22" t="s">
        <v>13</v>
      </c>
      <c r="M43" s="22" t="s">
        <v>114</v>
      </c>
      <c r="N43" s="22" t="s">
        <v>115</v>
      </c>
      <c r="O43" s="24" t="s">
        <v>116</v>
      </c>
      <c r="P43" s="24" t="s">
        <v>117</v>
      </c>
      <c r="Q43" s="21" t="s">
        <v>652</v>
      </c>
      <c r="R43" s="24" t="s">
        <v>116</v>
      </c>
    </row>
    <row r="44" spans="1:18" x14ac:dyDescent="0.35">
      <c r="A44" s="37">
        <v>11280</v>
      </c>
      <c r="B44" s="21" t="str">
        <f>"TRIVALE ADMINISTRACAO LTDA"</f>
        <v>TRIVALE ADMINISTRACAO LTDA</v>
      </c>
      <c r="C44" s="31">
        <v>44781</v>
      </c>
      <c r="D44" s="31">
        <v>46607</v>
      </c>
      <c r="E44" s="41">
        <v>1894641.2</v>
      </c>
      <c r="F44" s="41">
        <v>1252258.4099999999</v>
      </c>
      <c r="G44" s="41">
        <v>642382.79</v>
      </c>
      <c r="H44" s="21"/>
      <c r="I44" s="22" t="s">
        <v>118</v>
      </c>
      <c r="J44" s="23" t="s">
        <v>690</v>
      </c>
      <c r="K44" s="22" t="s">
        <v>691</v>
      </c>
      <c r="L44" s="22" t="s">
        <v>13</v>
      </c>
      <c r="M44" s="22" t="s">
        <v>690</v>
      </c>
      <c r="N44" s="22" t="s">
        <v>691</v>
      </c>
      <c r="O44" s="24">
        <v>44781</v>
      </c>
      <c r="P44" s="24">
        <v>46607</v>
      </c>
      <c r="Q44" s="21" t="s">
        <v>652</v>
      </c>
      <c r="R44" s="24">
        <v>44781</v>
      </c>
    </row>
    <row r="45" spans="1:18" x14ac:dyDescent="0.35">
      <c r="A45" s="37">
        <v>11282</v>
      </c>
      <c r="B45" s="21" t="str">
        <f>"MOVE MAIS MEIOS DE PAGAMENTO LTDA"</f>
        <v>MOVE MAIS MEIOS DE PAGAMENTO LTDA</v>
      </c>
      <c r="C45" s="31" t="s">
        <v>120</v>
      </c>
      <c r="D45" s="31" t="s">
        <v>121</v>
      </c>
      <c r="E45" s="41">
        <v>59154</v>
      </c>
      <c r="F45" s="41">
        <v>38521.5</v>
      </c>
      <c r="G45" s="41">
        <v>20632.5</v>
      </c>
      <c r="H45" s="21"/>
      <c r="I45" s="22" t="s">
        <v>119</v>
      </c>
      <c r="J45" s="23" t="s">
        <v>692</v>
      </c>
      <c r="K45" s="22" t="s">
        <v>693</v>
      </c>
      <c r="L45" s="22" t="s">
        <v>13</v>
      </c>
      <c r="M45" s="22" t="s">
        <v>692</v>
      </c>
      <c r="N45" s="22" t="s">
        <v>693</v>
      </c>
      <c r="O45" s="24" t="s">
        <v>120</v>
      </c>
      <c r="P45" s="24" t="s">
        <v>121</v>
      </c>
      <c r="Q45" s="21" t="s">
        <v>652</v>
      </c>
      <c r="R45" s="24" t="s">
        <v>120</v>
      </c>
    </row>
    <row r="46" spans="1:18" x14ac:dyDescent="0.35">
      <c r="A46" s="37">
        <v>11283</v>
      </c>
      <c r="B46" s="21" t="str">
        <f>"ESPACO CULTURAL PALACIO DAS MANGABEIRAS SPE S A"</f>
        <v>ESPACO CULTURAL PALACIO DAS MANGABEIRAS SPE S A</v>
      </c>
      <c r="C46" s="31">
        <v>44782</v>
      </c>
      <c r="D46" s="31">
        <v>46511</v>
      </c>
      <c r="E46" s="41">
        <v>1139888</v>
      </c>
      <c r="F46" s="41">
        <v>49860</v>
      </c>
      <c r="G46" s="41">
        <v>1090028</v>
      </c>
      <c r="H46" s="21"/>
      <c r="I46" s="22" t="s">
        <v>122</v>
      </c>
      <c r="J46" s="23" t="s">
        <v>694</v>
      </c>
      <c r="K46" s="22" t="s">
        <v>695</v>
      </c>
      <c r="L46" s="22" t="s">
        <v>13</v>
      </c>
      <c r="M46" s="22" t="s">
        <v>694</v>
      </c>
      <c r="N46" s="22" t="s">
        <v>695</v>
      </c>
      <c r="O46" s="24">
        <v>44782</v>
      </c>
      <c r="P46" s="24">
        <v>46511</v>
      </c>
      <c r="Q46" s="21" t="s">
        <v>652</v>
      </c>
      <c r="R46" s="24">
        <v>44782</v>
      </c>
    </row>
    <row r="47" spans="1:18" x14ac:dyDescent="0.35">
      <c r="A47" s="37">
        <v>11284</v>
      </c>
      <c r="B47" s="21" t="str">
        <f>"CLIFORD CHANCE SOCIEDADE DE CONSULTORES EM DIREITO ESTRANGEIRO"</f>
        <v>CLIFORD CHANCE SOCIEDADE DE CONSULTORES EM DIREITO ESTRANGEIRO</v>
      </c>
      <c r="C47" s="31">
        <v>44570</v>
      </c>
      <c r="D47" s="31">
        <v>46396</v>
      </c>
      <c r="E47" s="41">
        <v>1611000</v>
      </c>
      <c r="F47" s="41">
        <v>220000</v>
      </c>
      <c r="G47" s="41">
        <v>1391000</v>
      </c>
      <c r="H47" s="21"/>
      <c r="I47" s="22" t="s">
        <v>123</v>
      </c>
      <c r="J47" s="23" t="s">
        <v>124</v>
      </c>
      <c r="K47" s="22" t="s">
        <v>125</v>
      </c>
      <c r="L47" s="22" t="s">
        <v>13</v>
      </c>
      <c r="M47" s="22" t="s">
        <v>124</v>
      </c>
      <c r="N47" s="22" t="s">
        <v>125</v>
      </c>
      <c r="O47" s="24">
        <v>44570</v>
      </c>
      <c r="P47" s="24">
        <v>46396</v>
      </c>
      <c r="Q47" s="21" t="s">
        <v>652</v>
      </c>
      <c r="R47" s="24">
        <v>44570</v>
      </c>
    </row>
    <row r="48" spans="1:18" x14ac:dyDescent="0.35">
      <c r="A48" s="37">
        <v>11285</v>
      </c>
      <c r="B48" s="21" t="str">
        <f>"NETVIEW INFORMATICA LTDA"</f>
        <v>NETVIEW INFORMATICA LTDA</v>
      </c>
      <c r="C48" s="31">
        <v>44721</v>
      </c>
      <c r="D48" s="31">
        <v>46547</v>
      </c>
      <c r="E48" s="41">
        <v>810180</v>
      </c>
      <c r="F48" s="41">
        <v>652375.48</v>
      </c>
      <c r="G48" s="41">
        <v>157804.51999999999</v>
      </c>
      <c r="H48" s="21"/>
      <c r="I48" s="22" t="s">
        <v>126</v>
      </c>
      <c r="J48" s="23" t="s">
        <v>696</v>
      </c>
      <c r="K48" s="22" t="s">
        <v>697</v>
      </c>
      <c r="L48" s="22" t="s">
        <v>13</v>
      </c>
      <c r="M48" s="22" t="s">
        <v>696</v>
      </c>
      <c r="N48" s="22" t="s">
        <v>697</v>
      </c>
      <c r="O48" s="24">
        <v>44721</v>
      </c>
      <c r="P48" s="24">
        <v>46547</v>
      </c>
      <c r="Q48" s="21" t="s">
        <v>652</v>
      </c>
      <c r="R48" s="24">
        <v>44721</v>
      </c>
    </row>
    <row r="49" spans="1:18" x14ac:dyDescent="0.35">
      <c r="A49" s="37">
        <v>11286</v>
      </c>
      <c r="B49" s="21" t="str">
        <f>"SOMPO SEGUROS SA"</f>
        <v>SOMPO SEGUROS SA</v>
      </c>
      <c r="C49" s="31">
        <v>44721</v>
      </c>
      <c r="D49" s="31">
        <v>46516</v>
      </c>
      <c r="E49" s="41">
        <v>552304.94999999995</v>
      </c>
      <c r="F49" s="41">
        <v>435772.38</v>
      </c>
      <c r="G49" s="41">
        <v>116532.57</v>
      </c>
      <c r="H49" s="21"/>
      <c r="I49" s="22" t="s">
        <v>698</v>
      </c>
      <c r="J49" s="23" t="s">
        <v>127</v>
      </c>
      <c r="K49" s="22" t="s">
        <v>699</v>
      </c>
      <c r="L49" s="22" t="s">
        <v>13</v>
      </c>
      <c r="M49" s="22" t="s">
        <v>127</v>
      </c>
      <c r="N49" s="22" t="s">
        <v>699</v>
      </c>
      <c r="O49" s="24">
        <v>44721</v>
      </c>
      <c r="P49" s="24">
        <v>46516</v>
      </c>
      <c r="Q49" s="21" t="s">
        <v>652</v>
      </c>
      <c r="R49" s="24">
        <v>44721</v>
      </c>
    </row>
    <row r="50" spans="1:18" x14ac:dyDescent="0.35">
      <c r="A50" s="37">
        <v>11306</v>
      </c>
      <c r="B50" s="21" t="str">
        <f>"CETEST MINAS ENGENHARIA E SERVICOS S A"</f>
        <v>CETEST MINAS ENGENHARIA E SERVICOS S A</v>
      </c>
      <c r="C50" s="31">
        <v>44722</v>
      </c>
      <c r="D50" s="31">
        <v>46183</v>
      </c>
      <c r="E50" s="41">
        <v>4447946.05</v>
      </c>
      <c r="F50" s="41">
        <v>3780120.15</v>
      </c>
      <c r="G50" s="41">
        <v>667825.9</v>
      </c>
      <c r="H50" s="21"/>
      <c r="I50" s="22" t="s">
        <v>128</v>
      </c>
      <c r="J50" s="23" t="s">
        <v>700</v>
      </c>
      <c r="K50" s="22" t="s">
        <v>701</v>
      </c>
      <c r="L50" s="22" t="s">
        <v>13</v>
      </c>
      <c r="M50" s="22" t="s">
        <v>700</v>
      </c>
      <c r="N50" s="22" t="s">
        <v>701</v>
      </c>
      <c r="O50" s="24">
        <v>44722</v>
      </c>
      <c r="P50" s="24">
        <v>46183</v>
      </c>
      <c r="Q50" s="21" t="s">
        <v>652</v>
      </c>
      <c r="R50" s="24">
        <v>44722</v>
      </c>
    </row>
    <row r="51" spans="1:18" x14ac:dyDescent="0.35">
      <c r="A51" s="37">
        <v>11309</v>
      </c>
      <c r="B51" s="21" t="str">
        <f>"AC CLEAN COMERCIO DE LIMPEZA EIRELI  ME"</f>
        <v>AC CLEAN COMERCIO DE LIMPEZA EIRELI  ME</v>
      </c>
      <c r="C51" s="31">
        <v>44631</v>
      </c>
      <c r="D51" s="31">
        <v>46092</v>
      </c>
      <c r="E51" s="41">
        <v>247478.06</v>
      </c>
      <c r="F51" s="41">
        <v>184948.6</v>
      </c>
      <c r="G51" s="41">
        <v>62529.46</v>
      </c>
      <c r="H51" s="21"/>
      <c r="I51" s="22" t="s">
        <v>129</v>
      </c>
      <c r="J51" s="23" t="s">
        <v>130</v>
      </c>
      <c r="K51" s="22" t="s">
        <v>131</v>
      </c>
      <c r="L51" s="22" t="s">
        <v>13</v>
      </c>
      <c r="M51" s="22" t="s">
        <v>130</v>
      </c>
      <c r="N51" s="22" t="s">
        <v>131</v>
      </c>
      <c r="O51" s="24">
        <v>44631</v>
      </c>
      <c r="P51" s="24">
        <v>46092</v>
      </c>
      <c r="Q51" s="21" t="s">
        <v>652</v>
      </c>
      <c r="R51" s="24">
        <v>44631</v>
      </c>
    </row>
    <row r="52" spans="1:18" x14ac:dyDescent="0.35">
      <c r="A52" s="37">
        <v>11314</v>
      </c>
      <c r="B52" s="21" t="str">
        <f>"MARKIT GROUP LIMITED"</f>
        <v>MARKIT GROUP LIMITED</v>
      </c>
      <c r="C52" s="31">
        <v>44653</v>
      </c>
      <c r="D52" s="31">
        <v>46448</v>
      </c>
      <c r="E52" s="41">
        <v>109517.04</v>
      </c>
      <c r="F52" s="41">
        <v>96601.2</v>
      </c>
      <c r="G52" s="41">
        <v>12915.84</v>
      </c>
      <c r="H52" s="21"/>
      <c r="I52" s="22" t="s">
        <v>132</v>
      </c>
      <c r="J52" s="23" t="s">
        <v>133</v>
      </c>
      <c r="K52" s="22" t="s">
        <v>134</v>
      </c>
      <c r="L52" s="22" t="s">
        <v>13</v>
      </c>
      <c r="M52" s="22" t="s">
        <v>133</v>
      </c>
      <c r="N52" s="22" t="s">
        <v>134</v>
      </c>
      <c r="O52" s="24">
        <v>44653</v>
      </c>
      <c r="P52" s="24">
        <v>46448</v>
      </c>
      <c r="Q52" s="21" t="s">
        <v>652</v>
      </c>
      <c r="R52" s="24">
        <v>44653</v>
      </c>
    </row>
    <row r="53" spans="1:18" x14ac:dyDescent="0.35">
      <c r="A53" s="37">
        <v>11322</v>
      </c>
      <c r="B53" s="21" t="str">
        <f>"SECRETARIA DE ESTADO DE PLANEJAMENTO E GESTAO"</f>
        <v>SECRETARIA DE ESTADO DE PLANEJAMENTO E GESTAO</v>
      </c>
      <c r="C53" s="31" t="s">
        <v>136</v>
      </c>
      <c r="D53" s="31" t="s">
        <v>137</v>
      </c>
      <c r="E53" s="41">
        <v>8400000</v>
      </c>
      <c r="F53" s="41">
        <v>6813412.3799999999</v>
      </c>
      <c r="G53" s="41">
        <v>1586587.62</v>
      </c>
      <c r="H53" s="21"/>
      <c r="I53" s="22" t="s">
        <v>135</v>
      </c>
      <c r="J53" s="23" t="s">
        <v>702</v>
      </c>
      <c r="K53" s="22" t="s">
        <v>703</v>
      </c>
      <c r="L53" s="22" t="s">
        <v>13</v>
      </c>
      <c r="M53" s="22" t="s">
        <v>702</v>
      </c>
      <c r="N53" s="22" t="s">
        <v>703</v>
      </c>
      <c r="O53" s="24" t="s">
        <v>136</v>
      </c>
      <c r="P53" s="24" t="s">
        <v>137</v>
      </c>
      <c r="Q53" s="21" t="s">
        <v>652</v>
      </c>
      <c r="R53" s="24" t="s">
        <v>136</v>
      </c>
    </row>
    <row r="54" spans="1:18" x14ac:dyDescent="0.35">
      <c r="A54" s="37">
        <v>11324</v>
      </c>
      <c r="B54" s="21" t="str">
        <f>"UPLEXIS TECNOLOGIA LTDA"</f>
        <v>UPLEXIS TECNOLOGIA LTDA</v>
      </c>
      <c r="C54" s="31" t="s">
        <v>139</v>
      </c>
      <c r="D54" s="31" t="s">
        <v>140</v>
      </c>
      <c r="E54" s="41">
        <v>456597.6</v>
      </c>
      <c r="F54" s="41">
        <v>319266.33</v>
      </c>
      <c r="G54" s="41">
        <v>137331.26999999999</v>
      </c>
      <c r="H54" s="21"/>
      <c r="I54" s="22" t="s">
        <v>138</v>
      </c>
      <c r="J54" s="23" t="s">
        <v>704</v>
      </c>
      <c r="K54" s="22" t="s">
        <v>705</v>
      </c>
      <c r="L54" s="22" t="s">
        <v>13</v>
      </c>
      <c r="M54" s="22" t="s">
        <v>704</v>
      </c>
      <c r="N54" s="22" t="s">
        <v>705</v>
      </c>
      <c r="O54" s="24" t="s">
        <v>139</v>
      </c>
      <c r="P54" s="24" t="s">
        <v>140</v>
      </c>
      <c r="Q54" s="21" t="s">
        <v>652</v>
      </c>
      <c r="R54" s="24" t="s">
        <v>139</v>
      </c>
    </row>
    <row r="55" spans="1:18" x14ac:dyDescent="0.35">
      <c r="A55" s="37">
        <v>11328</v>
      </c>
      <c r="B55" s="21" t="str">
        <f>"CONTI CONSULTORIA EM TECNOLOGIA DA INFOR"</f>
        <v>CONTI CONSULTORIA EM TECNOLOGIA DA INFOR</v>
      </c>
      <c r="C55" s="31">
        <v>45261</v>
      </c>
      <c r="D55" s="31">
        <v>47088</v>
      </c>
      <c r="E55" s="41">
        <v>7877744.0300000003</v>
      </c>
      <c r="F55" s="41">
        <v>1483250.01</v>
      </c>
      <c r="G55" s="41">
        <v>6394494.0199999996</v>
      </c>
      <c r="H55" s="21"/>
      <c r="I55" s="22" t="s">
        <v>141</v>
      </c>
      <c r="J55" s="23" t="s">
        <v>706</v>
      </c>
      <c r="K55" s="22" t="s">
        <v>707</v>
      </c>
      <c r="L55" s="22" t="s">
        <v>13</v>
      </c>
      <c r="M55" s="22" t="s">
        <v>706</v>
      </c>
      <c r="N55" s="22" t="s">
        <v>707</v>
      </c>
      <c r="O55" s="24">
        <v>45261</v>
      </c>
      <c r="P55" s="24">
        <v>47088</v>
      </c>
      <c r="Q55" s="21" t="s">
        <v>652</v>
      </c>
      <c r="R55" s="24">
        <v>45261</v>
      </c>
    </row>
    <row r="56" spans="1:18" x14ac:dyDescent="0.35">
      <c r="A56" s="37">
        <v>11330</v>
      </c>
      <c r="B56" s="21" t="str">
        <f>"COMPANHIA DE GAS DE MINAS GERAIS GASMIG"</f>
        <v>COMPANHIA DE GAS DE MINAS GERAIS GASMIG</v>
      </c>
      <c r="C56" s="31" t="s">
        <v>145</v>
      </c>
      <c r="D56" s="31">
        <v>46722</v>
      </c>
      <c r="E56" s="41">
        <v>908210.74</v>
      </c>
      <c r="F56" s="41">
        <v>693050.98</v>
      </c>
      <c r="G56" s="41">
        <v>215159.76</v>
      </c>
      <c r="H56" s="21"/>
      <c r="I56" s="22" t="s">
        <v>142</v>
      </c>
      <c r="J56" s="23" t="s">
        <v>143</v>
      </c>
      <c r="K56" s="22" t="s">
        <v>144</v>
      </c>
      <c r="L56" s="22" t="s">
        <v>13</v>
      </c>
      <c r="M56" s="22" t="s">
        <v>143</v>
      </c>
      <c r="N56" s="22" t="s">
        <v>144</v>
      </c>
      <c r="O56" s="24" t="s">
        <v>145</v>
      </c>
      <c r="P56" s="24">
        <v>46722</v>
      </c>
      <c r="Q56" s="21" t="s">
        <v>652</v>
      </c>
      <c r="R56" s="24" t="s">
        <v>145</v>
      </c>
    </row>
    <row r="57" spans="1:18" x14ac:dyDescent="0.35">
      <c r="A57" s="37">
        <v>11332</v>
      </c>
      <c r="B57" s="21" t="str">
        <f>"GENTE SEGURADORA SA"</f>
        <v>GENTE SEGURADORA SA</v>
      </c>
      <c r="C57" s="31" t="s">
        <v>139</v>
      </c>
      <c r="D57" s="31" t="s">
        <v>146</v>
      </c>
      <c r="E57" s="41">
        <v>40000</v>
      </c>
      <c r="F57" s="41">
        <v>40000</v>
      </c>
      <c r="G57" s="41">
        <v>0</v>
      </c>
      <c r="H57" s="21"/>
      <c r="I57" s="22" t="s">
        <v>62</v>
      </c>
      <c r="J57" s="23" t="s">
        <v>62</v>
      </c>
      <c r="K57" s="22" t="s">
        <v>13</v>
      </c>
      <c r="L57" s="22" t="s">
        <v>13</v>
      </c>
      <c r="M57" s="22" t="s">
        <v>62</v>
      </c>
      <c r="N57" s="22" t="s">
        <v>13</v>
      </c>
      <c r="O57" s="24" t="s">
        <v>139</v>
      </c>
      <c r="P57" s="24" t="s">
        <v>146</v>
      </c>
      <c r="Q57" s="21" t="s">
        <v>652</v>
      </c>
      <c r="R57" s="24" t="s">
        <v>139</v>
      </c>
    </row>
    <row r="58" spans="1:18" x14ac:dyDescent="0.35">
      <c r="A58" s="37">
        <v>11343</v>
      </c>
      <c r="B58" s="21" t="str">
        <f>"ELEVEM LTDA  ME"</f>
        <v>ELEVEM LTDA  ME</v>
      </c>
      <c r="C58" s="31" t="s">
        <v>150</v>
      </c>
      <c r="D58" s="31" t="s">
        <v>151</v>
      </c>
      <c r="E58" s="41">
        <v>38654.9</v>
      </c>
      <c r="F58" s="41">
        <v>29162.25</v>
      </c>
      <c r="G58" s="41">
        <v>9492.65</v>
      </c>
      <c r="H58" s="21"/>
      <c r="I58" s="22" t="s">
        <v>147</v>
      </c>
      <c r="J58" s="23" t="s">
        <v>148</v>
      </c>
      <c r="K58" s="22" t="s">
        <v>149</v>
      </c>
      <c r="L58" s="22" t="s">
        <v>13</v>
      </c>
      <c r="M58" s="22" t="s">
        <v>148</v>
      </c>
      <c r="N58" s="22" t="s">
        <v>149</v>
      </c>
      <c r="O58" s="24" t="s">
        <v>150</v>
      </c>
      <c r="P58" s="24" t="s">
        <v>151</v>
      </c>
      <c r="Q58" s="21" t="s">
        <v>652</v>
      </c>
      <c r="R58" s="24" t="s">
        <v>150</v>
      </c>
    </row>
    <row r="59" spans="1:18" x14ac:dyDescent="0.35">
      <c r="A59" s="37">
        <v>11345</v>
      </c>
      <c r="B59" s="21" t="str">
        <f>"CONSORCIO OPERACIONAL DO SISTEMA BILHETAGEM"</f>
        <v>CONSORCIO OPERACIONAL DO SISTEMA BILHETAGEM</v>
      </c>
      <c r="C59" s="31" t="s">
        <v>155</v>
      </c>
      <c r="D59" s="31" t="s">
        <v>156</v>
      </c>
      <c r="E59" s="41">
        <v>3375</v>
      </c>
      <c r="F59" s="41">
        <v>1600.05</v>
      </c>
      <c r="G59" s="41">
        <v>1774.95</v>
      </c>
      <c r="H59" s="21"/>
      <c r="I59" s="22" t="s">
        <v>152</v>
      </c>
      <c r="J59" s="23" t="s">
        <v>153</v>
      </c>
      <c r="K59" s="22" t="s">
        <v>154</v>
      </c>
      <c r="L59" s="22" t="s">
        <v>13</v>
      </c>
      <c r="M59" s="22" t="s">
        <v>153</v>
      </c>
      <c r="N59" s="22" t="s">
        <v>154</v>
      </c>
      <c r="O59" s="24" t="s">
        <v>155</v>
      </c>
      <c r="P59" s="24" t="s">
        <v>156</v>
      </c>
      <c r="Q59" s="21" t="s">
        <v>652</v>
      </c>
      <c r="R59" s="24" t="s">
        <v>155</v>
      </c>
    </row>
    <row r="60" spans="1:18" x14ac:dyDescent="0.35">
      <c r="A60" s="37">
        <v>11354</v>
      </c>
      <c r="B60" s="21" t="str">
        <f>"LUIZ  ALBERTO  SALOMAO"</f>
        <v>LUIZ  ALBERTO  SALOMAO</v>
      </c>
      <c r="C60" s="31" t="s">
        <v>160</v>
      </c>
      <c r="D60" s="31" t="s">
        <v>161</v>
      </c>
      <c r="E60" s="41">
        <v>669000</v>
      </c>
      <c r="F60" s="41">
        <v>227416.05</v>
      </c>
      <c r="G60" s="41">
        <v>441583.95</v>
      </c>
      <c r="H60" s="21"/>
      <c r="I60" s="22" t="s">
        <v>157</v>
      </c>
      <c r="J60" s="23" t="s">
        <v>158</v>
      </c>
      <c r="K60" s="22" t="s">
        <v>159</v>
      </c>
      <c r="L60" s="22" t="s">
        <v>13</v>
      </c>
      <c r="M60" s="22" t="s">
        <v>158</v>
      </c>
      <c r="N60" s="22" t="s">
        <v>159</v>
      </c>
      <c r="O60" s="24" t="s">
        <v>160</v>
      </c>
      <c r="P60" s="24" t="s">
        <v>161</v>
      </c>
      <c r="Q60" s="21" t="s">
        <v>652</v>
      </c>
      <c r="R60" s="24" t="s">
        <v>160</v>
      </c>
    </row>
    <row r="61" spans="1:18" x14ac:dyDescent="0.35">
      <c r="A61" s="37">
        <v>11356</v>
      </c>
      <c r="B61" s="21" t="str">
        <f>"CS BRASIL FROTAS SA"</f>
        <v>CS BRASIL FROTAS SA</v>
      </c>
      <c r="C61" s="31" t="s">
        <v>163</v>
      </c>
      <c r="D61" s="31" t="s">
        <v>164</v>
      </c>
      <c r="E61" s="41">
        <v>2077944.26</v>
      </c>
      <c r="F61" s="41">
        <v>2005780.14</v>
      </c>
      <c r="G61" s="41">
        <v>72164.12</v>
      </c>
      <c r="H61" s="21"/>
      <c r="I61" s="22" t="s">
        <v>162</v>
      </c>
      <c r="J61" s="23" t="s">
        <v>708</v>
      </c>
      <c r="K61" s="22" t="s">
        <v>709</v>
      </c>
      <c r="L61" s="22" t="s">
        <v>13</v>
      </c>
      <c r="M61" s="22" t="s">
        <v>708</v>
      </c>
      <c r="N61" s="22" t="s">
        <v>709</v>
      </c>
      <c r="O61" s="24" t="s">
        <v>163</v>
      </c>
      <c r="P61" s="24" t="s">
        <v>164</v>
      </c>
      <c r="Q61" s="21" t="s">
        <v>652</v>
      </c>
      <c r="R61" s="24" t="s">
        <v>163</v>
      </c>
    </row>
    <row r="62" spans="1:18" x14ac:dyDescent="0.35">
      <c r="A62" s="37">
        <v>11358</v>
      </c>
      <c r="B62" s="21" t="str">
        <f>"EMPRESA MINEIRA DE COMUNICAO LTDA"</f>
        <v>EMPRESA MINEIRA DE COMUNICAO LTDA</v>
      </c>
      <c r="C62" s="31" t="s">
        <v>166</v>
      </c>
      <c r="D62" s="31" t="s">
        <v>167</v>
      </c>
      <c r="E62" s="41">
        <v>13854718.08</v>
      </c>
      <c r="F62" s="41">
        <v>0</v>
      </c>
      <c r="G62" s="41">
        <v>13854718.08</v>
      </c>
      <c r="H62" s="21"/>
      <c r="I62" s="22" t="s">
        <v>165</v>
      </c>
      <c r="J62" s="23" t="s">
        <v>16</v>
      </c>
      <c r="K62" s="22" t="s">
        <v>165</v>
      </c>
      <c r="L62" s="22" t="s">
        <v>13</v>
      </c>
      <c r="M62" s="22" t="s">
        <v>13</v>
      </c>
      <c r="N62" s="22" t="s">
        <v>165</v>
      </c>
      <c r="O62" s="24" t="s">
        <v>166</v>
      </c>
      <c r="P62" s="24" t="s">
        <v>167</v>
      </c>
      <c r="Q62" s="21" t="s">
        <v>652</v>
      </c>
      <c r="R62" s="24" t="s">
        <v>166</v>
      </c>
    </row>
    <row r="63" spans="1:18" x14ac:dyDescent="0.35">
      <c r="A63" s="37">
        <v>11361</v>
      </c>
      <c r="B63" s="21" t="str">
        <f>"RICCI DIARIOS PUBLICIDADE E AGENCIAMENTO"</f>
        <v>RICCI DIARIOS PUBLICIDADE E AGENCIAMENTO</v>
      </c>
      <c r="C63" s="31">
        <v>45264</v>
      </c>
      <c r="D63" s="31">
        <v>47091</v>
      </c>
      <c r="E63" s="41">
        <v>2117696.7200000002</v>
      </c>
      <c r="F63" s="41">
        <v>2098032.36</v>
      </c>
      <c r="G63" s="41">
        <v>19664.36</v>
      </c>
      <c r="H63" s="21"/>
      <c r="I63" s="22" t="s">
        <v>710</v>
      </c>
      <c r="J63" s="23" t="s">
        <v>168</v>
      </c>
      <c r="K63" s="22" t="s">
        <v>711</v>
      </c>
      <c r="L63" s="22" t="s">
        <v>13</v>
      </c>
      <c r="M63" s="22" t="s">
        <v>168</v>
      </c>
      <c r="N63" s="22" t="s">
        <v>711</v>
      </c>
      <c r="O63" s="24">
        <v>45264</v>
      </c>
      <c r="P63" s="24">
        <v>47091</v>
      </c>
      <c r="Q63" s="21" t="s">
        <v>652</v>
      </c>
      <c r="R63" s="24">
        <v>45264</v>
      </c>
    </row>
    <row r="64" spans="1:18" x14ac:dyDescent="0.35">
      <c r="A64" s="37">
        <v>11363</v>
      </c>
      <c r="B64" s="21" t="str">
        <f>"CONSORCIO OTIMO DE BILHETAGEM ELETRONICA"</f>
        <v>CONSORCIO OTIMO DE BILHETAGEM ELETRONICA</v>
      </c>
      <c r="C64" s="31" t="s">
        <v>170</v>
      </c>
      <c r="D64" s="31" t="s">
        <v>171</v>
      </c>
      <c r="E64" s="41">
        <v>1391.4</v>
      </c>
      <c r="F64" s="41">
        <v>5879500</v>
      </c>
      <c r="G64" s="41">
        <v>8034500</v>
      </c>
      <c r="H64" s="21"/>
      <c r="I64" s="22" t="s">
        <v>169</v>
      </c>
      <c r="J64" s="23">
        <v>5879500</v>
      </c>
      <c r="K64" s="22">
        <v>8034500</v>
      </c>
      <c r="L64" s="22" t="s">
        <v>13</v>
      </c>
      <c r="M64" s="22">
        <v>5879500</v>
      </c>
      <c r="N64" s="22">
        <v>8034500</v>
      </c>
      <c r="O64" s="24" t="s">
        <v>170</v>
      </c>
      <c r="P64" s="24" t="s">
        <v>171</v>
      </c>
      <c r="Q64" s="21" t="s">
        <v>652</v>
      </c>
      <c r="R64" s="24" t="s">
        <v>170</v>
      </c>
    </row>
    <row r="65" spans="1:18" x14ac:dyDescent="0.35">
      <c r="A65" s="37">
        <v>11370</v>
      </c>
      <c r="B65" s="21" t="str">
        <f>"ATC"</f>
        <v>ATC</v>
      </c>
      <c r="C65" s="31">
        <v>45204</v>
      </c>
      <c r="D65" s="31">
        <v>46600</v>
      </c>
      <c r="E65" s="41">
        <v>9436219.9700000007</v>
      </c>
      <c r="F65" s="41">
        <v>8079425.0817999998</v>
      </c>
      <c r="G65" s="41">
        <v>1356794.8881999999</v>
      </c>
      <c r="H65" s="21"/>
      <c r="I65" s="22" t="s">
        <v>172</v>
      </c>
      <c r="J65" s="23" t="s">
        <v>712</v>
      </c>
      <c r="K65" s="22" t="s">
        <v>713</v>
      </c>
      <c r="L65" s="22" t="s">
        <v>13</v>
      </c>
      <c r="M65" s="22" t="s">
        <v>712</v>
      </c>
      <c r="N65" s="22" t="s">
        <v>713</v>
      </c>
      <c r="O65" s="24">
        <v>45204</v>
      </c>
      <c r="P65" s="24">
        <v>46600</v>
      </c>
      <c r="Q65" s="21" t="s">
        <v>652</v>
      </c>
      <c r="R65" s="24">
        <v>45204</v>
      </c>
    </row>
    <row r="66" spans="1:18" x14ac:dyDescent="0.35">
      <c r="A66" s="37">
        <v>11390</v>
      </c>
      <c r="B66" s="21" t="str">
        <f>"MCR SISTEMAS E CONSULTORIA LTDA"</f>
        <v>MCR SISTEMAS E CONSULTORIA LTDA</v>
      </c>
      <c r="C66" s="31">
        <v>45114</v>
      </c>
      <c r="D66" s="31">
        <v>46575</v>
      </c>
      <c r="E66" s="41">
        <v>597573.32999999996</v>
      </c>
      <c r="F66" s="41">
        <v>597573.29</v>
      </c>
      <c r="G66" s="41">
        <v>0.04</v>
      </c>
      <c r="H66" s="21"/>
      <c r="I66" s="22" t="s">
        <v>173</v>
      </c>
      <c r="J66" s="23" t="s">
        <v>174</v>
      </c>
      <c r="K66" s="22" t="s">
        <v>175</v>
      </c>
      <c r="L66" s="22" t="s">
        <v>13</v>
      </c>
      <c r="M66" s="22" t="s">
        <v>174</v>
      </c>
      <c r="N66" s="22" t="s">
        <v>175</v>
      </c>
      <c r="O66" s="24">
        <v>45114</v>
      </c>
      <c r="P66" s="24">
        <v>46575</v>
      </c>
      <c r="Q66" s="21" t="s">
        <v>652</v>
      </c>
      <c r="R66" s="24">
        <v>45114</v>
      </c>
    </row>
    <row r="67" spans="1:18" x14ac:dyDescent="0.35">
      <c r="A67" s="37">
        <v>11399</v>
      </c>
      <c r="B67" s="21" t="str">
        <f>"MGS MINAS GERAIS ADMINISTRACAO E SER SA"</f>
        <v>MGS MINAS GERAIS ADMINISTRACAO E SER SA</v>
      </c>
      <c r="C67" s="31" t="s">
        <v>177</v>
      </c>
      <c r="D67" s="31" t="s">
        <v>178</v>
      </c>
      <c r="E67" s="41">
        <v>83413751.739999995</v>
      </c>
      <c r="F67" s="41">
        <v>50653737.920000002</v>
      </c>
      <c r="G67" s="41">
        <v>32760013.82</v>
      </c>
      <c r="H67" s="21"/>
      <c r="I67" s="22" t="s">
        <v>176</v>
      </c>
      <c r="J67" s="23" t="s">
        <v>714</v>
      </c>
      <c r="K67" s="22" t="s">
        <v>715</v>
      </c>
      <c r="L67" s="22" t="s">
        <v>13</v>
      </c>
      <c r="M67" s="22" t="s">
        <v>714</v>
      </c>
      <c r="N67" s="22" t="s">
        <v>715</v>
      </c>
      <c r="O67" s="24" t="s">
        <v>177</v>
      </c>
      <c r="P67" s="24" t="s">
        <v>178</v>
      </c>
      <c r="Q67" s="21" t="s">
        <v>652</v>
      </c>
      <c r="R67" s="24" t="s">
        <v>177</v>
      </c>
    </row>
    <row r="68" spans="1:18" x14ac:dyDescent="0.35">
      <c r="A68" s="37">
        <v>11408</v>
      </c>
      <c r="B68" s="21" t="str">
        <f>"SECRETARIA DE ESTADO DE GOVERNO"</f>
        <v>SECRETARIA DE ESTADO DE GOVERNO</v>
      </c>
      <c r="C68" s="31" t="s">
        <v>180</v>
      </c>
      <c r="D68" s="31" t="s">
        <v>181</v>
      </c>
      <c r="E68" s="41">
        <v>384827.52</v>
      </c>
      <c r="F68" s="41">
        <v>185093.44</v>
      </c>
      <c r="G68" s="41">
        <v>199734.08</v>
      </c>
      <c r="H68" s="21"/>
      <c r="I68" s="22" t="s">
        <v>179</v>
      </c>
      <c r="J68" s="23" t="s">
        <v>716</v>
      </c>
      <c r="K68" s="22" t="s">
        <v>717</v>
      </c>
      <c r="L68" s="22" t="s">
        <v>13</v>
      </c>
      <c r="M68" s="22" t="s">
        <v>716</v>
      </c>
      <c r="N68" s="22" t="s">
        <v>717</v>
      </c>
      <c r="O68" s="24" t="s">
        <v>180</v>
      </c>
      <c r="P68" s="24" t="s">
        <v>181</v>
      </c>
      <c r="Q68" s="21" t="s">
        <v>652</v>
      </c>
      <c r="R68" s="24" t="s">
        <v>180</v>
      </c>
    </row>
    <row r="69" spans="1:18" x14ac:dyDescent="0.35">
      <c r="A69" s="37">
        <v>11410</v>
      </c>
      <c r="B69" s="21" t="str">
        <f>"ABATEX INDUSTRIA E COMERCIO LTDA"</f>
        <v>ABATEX INDUSTRIA E COMERCIO LTDA</v>
      </c>
      <c r="C69" s="31">
        <v>45239</v>
      </c>
      <c r="D69" s="31">
        <v>47066</v>
      </c>
      <c r="E69" s="41">
        <v>285999.65000000002</v>
      </c>
      <c r="F69" s="41">
        <v>285999.65000000002</v>
      </c>
      <c r="G69" s="41">
        <v>0</v>
      </c>
      <c r="H69" s="21"/>
      <c r="I69" s="22" t="s">
        <v>182</v>
      </c>
      <c r="J69" s="23" t="s">
        <v>182</v>
      </c>
      <c r="K69" s="22" t="s">
        <v>13</v>
      </c>
      <c r="L69" s="22" t="s">
        <v>13</v>
      </c>
      <c r="M69" s="22" t="s">
        <v>182</v>
      </c>
      <c r="N69" s="22" t="s">
        <v>13</v>
      </c>
      <c r="O69" s="24">
        <v>45239</v>
      </c>
      <c r="P69" s="24">
        <v>47066</v>
      </c>
      <c r="Q69" s="21" t="s">
        <v>652</v>
      </c>
      <c r="R69" s="24">
        <v>45239</v>
      </c>
    </row>
    <row r="70" spans="1:18" x14ac:dyDescent="0.35">
      <c r="A70" s="37">
        <v>11416</v>
      </c>
      <c r="B70" s="21" t="str">
        <f>"AC CLEAN COMERCIO DE LIMPEZA EIRELI  ME"</f>
        <v>AC CLEAN COMERCIO DE LIMPEZA EIRELI  ME</v>
      </c>
      <c r="C70" s="31">
        <v>45086</v>
      </c>
      <c r="D70" s="31">
        <v>46547</v>
      </c>
      <c r="E70" s="41">
        <v>248863.79</v>
      </c>
      <c r="F70" s="41">
        <v>140539.54</v>
      </c>
      <c r="G70" s="41">
        <v>108324.25</v>
      </c>
      <c r="H70" s="21"/>
      <c r="I70" s="22" t="s">
        <v>183</v>
      </c>
      <c r="J70" s="23" t="s">
        <v>718</v>
      </c>
      <c r="K70" s="22" t="s">
        <v>719</v>
      </c>
      <c r="L70" s="22" t="s">
        <v>13</v>
      </c>
      <c r="M70" s="22" t="s">
        <v>718</v>
      </c>
      <c r="N70" s="22" t="s">
        <v>719</v>
      </c>
      <c r="O70" s="24">
        <v>45086</v>
      </c>
      <c r="P70" s="24">
        <v>46547</v>
      </c>
      <c r="Q70" s="21" t="s">
        <v>652</v>
      </c>
      <c r="R70" s="24">
        <v>45086</v>
      </c>
    </row>
    <row r="71" spans="1:18" x14ac:dyDescent="0.35">
      <c r="A71" s="37">
        <v>11420</v>
      </c>
      <c r="B71" s="21" t="str">
        <f>"AOVS SISTEMAS DE  INFORMATICA SA"</f>
        <v>AOVS SISTEMAS DE  INFORMATICA SA</v>
      </c>
      <c r="C71" s="31" t="s">
        <v>185</v>
      </c>
      <c r="D71" s="31" t="s">
        <v>186</v>
      </c>
      <c r="E71" s="41">
        <v>12144.48</v>
      </c>
      <c r="F71" s="41">
        <v>11803.46</v>
      </c>
      <c r="G71" s="41">
        <v>3410200</v>
      </c>
      <c r="H71" s="21"/>
      <c r="I71" s="22" t="s">
        <v>184</v>
      </c>
      <c r="J71" s="23" t="s">
        <v>720</v>
      </c>
      <c r="K71" s="22">
        <v>3410200</v>
      </c>
      <c r="L71" s="22" t="s">
        <v>13</v>
      </c>
      <c r="M71" s="22" t="s">
        <v>720</v>
      </c>
      <c r="N71" s="22">
        <v>3410200</v>
      </c>
      <c r="O71" s="24" t="s">
        <v>185</v>
      </c>
      <c r="P71" s="24" t="s">
        <v>186</v>
      </c>
      <c r="Q71" s="21" t="s">
        <v>652</v>
      </c>
      <c r="R71" s="24" t="s">
        <v>185</v>
      </c>
    </row>
    <row r="72" spans="1:18" x14ac:dyDescent="0.35">
      <c r="A72" s="37">
        <v>11425</v>
      </c>
      <c r="B72" s="21" t="str">
        <f>"HIPERTEXTO COMUNICACAO EMPRESARIAL SOCIEDADE SIMPLES   PURA"</f>
        <v>HIPERTEXTO COMUNICACAO EMPRESARIAL SOCIEDADE SIMPLES   PURA</v>
      </c>
      <c r="C72" s="31" t="s">
        <v>188</v>
      </c>
      <c r="D72" s="31" t="s">
        <v>189</v>
      </c>
      <c r="E72" s="41">
        <v>1459177.26</v>
      </c>
      <c r="F72" s="41">
        <v>1430852.93</v>
      </c>
      <c r="G72" s="41">
        <v>28324.33</v>
      </c>
      <c r="H72" s="21"/>
      <c r="I72" s="22" t="s">
        <v>187</v>
      </c>
      <c r="J72" s="23" t="s">
        <v>721</v>
      </c>
      <c r="K72" s="22" t="s">
        <v>722</v>
      </c>
      <c r="L72" s="22" t="s">
        <v>13</v>
      </c>
      <c r="M72" s="22" t="s">
        <v>721</v>
      </c>
      <c r="N72" s="22" t="s">
        <v>722</v>
      </c>
      <c r="O72" s="24" t="s">
        <v>188</v>
      </c>
      <c r="P72" s="24" t="s">
        <v>189</v>
      </c>
      <c r="Q72" s="21" t="s">
        <v>652</v>
      </c>
      <c r="R72" s="24" t="s">
        <v>188</v>
      </c>
    </row>
    <row r="73" spans="1:18" x14ac:dyDescent="0.35">
      <c r="A73" s="37">
        <v>11429</v>
      </c>
      <c r="B73" s="21" t="str">
        <f>"FORT SECURE TECNOLOGIA LTDA"</f>
        <v>FORT SECURE TECNOLOGIA LTDA</v>
      </c>
      <c r="C73" s="31" t="s">
        <v>191</v>
      </c>
      <c r="D73" s="31" t="s">
        <v>192</v>
      </c>
      <c r="E73" s="41">
        <v>233820</v>
      </c>
      <c r="F73" s="41">
        <v>230325</v>
      </c>
      <c r="G73" s="41">
        <v>3495</v>
      </c>
      <c r="H73" s="21"/>
      <c r="I73" s="22" t="s">
        <v>190</v>
      </c>
      <c r="J73" s="23" t="s">
        <v>723</v>
      </c>
      <c r="K73" s="22" t="s">
        <v>724</v>
      </c>
      <c r="L73" s="22" t="s">
        <v>13</v>
      </c>
      <c r="M73" s="22" t="s">
        <v>723</v>
      </c>
      <c r="N73" s="22" t="s">
        <v>724</v>
      </c>
      <c r="O73" s="24" t="s">
        <v>191</v>
      </c>
      <c r="P73" s="24" t="s">
        <v>192</v>
      </c>
      <c r="Q73" s="21" t="s">
        <v>652</v>
      </c>
      <c r="R73" s="24" t="s">
        <v>191</v>
      </c>
    </row>
    <row r="74" spans="1:18" x14ac:dyDescent="0.35">
      <c r="A74" s="37">
        <v>11441</v>
      </c>
      <c r="B74" s="21" t="str">
        <f>"CCA AUTOMACAO  PREDIAL LTDA ME"</f>
        <v>CCA AUTOMACAO  PREDIAL LTDA ME</v>
      </c>
      <c r="C74" s="31" t="s">
        <v>194</v>
      </c>
      <c r="D74" s="31" t="s">
        <v>195</v>
      </c>
      <c r="E74" s="41">
        <v>77863.31</v>
      </c>
      <c r="F74" s="41">
        <v>73396.539999999994</v>
      </c>
      <c r="G74" s="41">
        <v>4466.7700000000004</v>
      </c>
      <c r="H74" s="21"/>
      <c r="I74" s="22" t="s">
        <v>193</v>
      </c>
      <c r="J74" s="23" t="s">
        <v>725</v>
      </c>
      <c r="K74" s="22" t="s">
        <v>726</v>
      </c>
      <c r="L74" s="22" t="s">
        <v>13</v>
      </c>
      <c r="M74" s="22" t="s">
        <v>725</v>
      </c>
      <c r="N74" s="22" t="s">
        <v>726</v>
      </c>
      <c r="O74" s="24" t="s">
        <v>194</v>
      </c>
      <c r="P74" s="24" t="s">
        <v>195</v>
      </c>
      <c r="Q74" s="21" t="s">
        <v>652</v>
      </c>
      <c r="R74" s="24" t="s">
        <v>194</v>
      </c>
    </row>
    <row r="75" spans="1:18" x14ac:dyDescent="0.35">
      <c r="A75" s="37">
        <v>11442</v>
      </c>
      <c r="B75" s="21" t="str">
        <f>"CENTRIC SYSTEM BRAZIL SOFTWARES LTDA"</f>
        <v>CENTRIC SYSTEM BRAZIL SOFTWARES LTDA</v>
      </c>
      <c r="C75" s="31" t="s">
        <v>199</v>
      </c>
      <c r="D75" s="31" t="s">
        <v>200</v>
      </c>
      <c r="E75" s="41">
        <v>55350</v>
      </c>
      <c r="F75" s="41">
        <v>52733.4</v>
      </c>
      <c r="G75" s="41">
        <v>2616.6</v>
      </c>
      <c r="H75" s="21"/>
      <c r="I75" s="22" t="s">
        <v>196</v>
      </c>
      <c r="J75" s="23" t="s">
        <v>197</v>
      </c>
      <c r="K75" s="22" t="s">
        <v>198</v>
      </c>
      <c r="L75" s="22" t="s">
        <v>13</v>
      </c>
      <c r="M75" s="22" t="s">
        <v>197</v>
      </c>
      <c r="N75" s="22" t="s">
        <v>198</v>
      </c>
      <c r="O75" s="24" t="s">
        <v>199</v>
      </c>
      <c r="P75" s="24" t="s">
        <v>200</v>
      </c>
      <c r="Q75" s="21" t="s">
        <v>652</v>
      </c>
      <c r="R75" s="24" t="s">
        <v>199</v>
      </c>
    </row>
    <row r="76" spans="1:18" x14ac:dyDescent="0.35">
      <c r="A76" s="37">
        <v>11452</v>
      </c>
      <c r="B76" s="21" t="str">
        <f>"PREFEITURA MUNICIPAL DE LAGOA SANTA"</f>
        <v>PREFEITURA MUNICIPAL DE LAGOA SANTA</v>
      </c>
      <c r="C76" s="31">
        <v>45088</v>
      </c>
      <c r="D76" s="31">
        <v>46601</v>
      </c>
      <c r="E76" s="41">
        <v>3700000</v>
      </c>
      <c r="F76" s="41">
        <v>3700000</v>
      </c>
      <c r="G76" s="41">
        <v>0</v>
      </c>
      <c r="H76" s="21"/>
      <c r="I76" s="22" t="s">
        <v>201</v>
      </c>
      <c r="J76" s="23" t="s">
        <v>201</v>
      </c>
      <c r="K76" s="22" t="s">
        <v>13</v>
      </c>
      <c r="L76" s="22" t="s">
        <v>13</v>
      </c>
      <c r="M76" s="22" t="s">
        <v>201</v>
      </c>
      <c r="N76" s="22" t="s">
        <v>13</v>
      </c>
      <c r="O76" s="24">
        <v>45088</v>
      </c>
      <c r="P76" s="24">
        <v>46601</v>
      </c>
      <c r="Q76" s="21" t="s">
        <v>652</v>
      </c>
      <c r="R76" s="24">
        <v>45088</v>
      </c>
    </row>
    <row r="77" spans="1:18" x14ac:dyDescent="0.35">
      <c r="A77" s="37">
        <v>11456</v>
      </c>
      <c r="B77" s="21" t="str">
        <f>"INTERNATIONAL FINANCE CORPORATION"</f>
        <v>INTERNATIONAL FINANCE CORPORATION</v>
      </c>
      <c r="C77" s="31">
        <v>45118</v>
      </c>
      <c r="D77" s="31">
        <v>46214</v>
      </c>
      <c r="E77" s="41">
        <v>18185513.510000002</v>
      </c>
      <c r="F77" s="41">
        <v>18008652.699999999</v>
      </c>
      <c r="G77" s="41">
        <v>176860.81</v>
      </c>
      <c r="H77" s="21"/>
      <c r="I77" s="22" t="s">
        <v>202</v>
      </c>
      <c r="J77" s="23" t="s">
        <v>203</v>
      </c>
      <c r="K77" s="22" t="s">
        <v>204</v>
      </c>
      <c r="L77" s="22" t="s">
        <v>13</v>
      </c>
      <c r="M77" s="22" t="s">
        <v>203</v>
      </c>
      <c r="N77" s="22" t="s">
        <v>204</v>
      </c>
      <c r="O77" s="24">
        <v>45118</v>
      </c>
      <c r="P77" s="24">
        <v>46214</v>
      </c>
      <c r="Q77" s="21" t="s">
        <v>652</v>
      </c>
      <c r="R77" s="24">
        <v>45118</v>
      </c>
    </row>
    <row r="78" spans="1:18" x14ac:dyDescent="0.35">
      <c r="A78" s="37">
        <v>11458</v>
      </c>
      <c r="B78" s="21" t="str">
        <f>"VALEC ENGENHARIA CONSTRUCOES E FERROVIAS SA"</f>
        <v>VALEC ENGENHARIA CONSTRUCOES E FERROVIAS SA</v>
      </c>
      <c r="C78" s="31" t="s">
        <v>206</v>
      </c>
      <c r="D78" s="31">
        <v>46365</v>
      </c>
      <c r="E78" s="41">
        <v>5016317.2300000004</v>
      </c>
      <c r="F78" s="41">
        <v>4514685.51</v>
      </c>
      <c r="G78" s="41">
        <v>501631.72</v>
      </c>
      <c r="H78" s="21"/>
      <c r="I78" s="22" t="s">
        <v>205</v>
      </c>
      <c r="J78" s="23" t="s">
        <v>727</v>
      </c>
      <c r="K78" s="22" t="s">
        <v>728</v>
      </c>
      <c r="L78" s="22" t="s">
        <v>13</v>
      </c>
      <c r="M78" s="22" t="s">
        <v>727</v>
      </c>
      <c r="N78" s="22" t="s">
        <v>728</v>
      </c>
      <c r="O78" s="24" t="s">
        <v>206</v>
      </c>
      <c r="P78" s="24">
        <v>46365</v>
      </c>
      <c r="Q78" s="21" t="s">
        <v>652</v>
      </c>
      <c r="R78" s="24" t="s">
        <v>206</v>
      </c>
    </row>
    <row r="79" spans="1:18" x14ac:dyDescent="0.35">
      <c r="A79" s="37">
        <v>11460</v>
      </c>
      <c r="B79" s="21" t="str">
        <f>"AVATZ GEOLOGIA E ENGENHARIA AMBIENTAL E SEGURANCA DO TRABALHO LTDA"</f>
        <v>AVATZ GEOLOGIA E ENGENHARIA AMBIENTAL E SEGURANCA DO TRABALHO LTDA</v>
      </c>
      <c r="C79" s="31" t="s">
        <v>210</v>
      </c>
      <c r="D79" s="31" t="s">
        <v>211</v>
      </c>
      <c r="E79" s="41">
        <v>110718.91</v>
      </c>
      <c r="F79" s="41">
        <v>106089.60000000001</v>
      </c>
      <c r="G79" s="41">
        <v>4629.3100000000004</v>
      </c>
      <c r="H79" s="21"/>
      <c r="I79" s="22" t="s">
        <v>207</v>
      </c>
      <c r="J79" s="23" t="s">
        <v>208</v>
      </c>
      <c r="K79" s="22" t="s">
        <v>209</v>
      </c>
      <c r="L79" s="22" t="s">
        <v>13</v>
      </c>
      <c r="M79" s="22" t="s">
        <v>208</v>
      </c>
      <c r="N79" s="22" t="s">
        <v>209</v>
      </c>
      <c r="O79" s="24" t="s">
        <v>210</v>
      </c>
      <c r="P79" s="24" t="s">
        <v>211</v>
      </c>
      <c r="Q79" s="21" t="s">
        <v>652</v>
      </c>
      <c r="R79" s="24" t="s">
        <v>210</v>
      </c>
    </row>
    <row r="80" spans="1:18" x14ac:dyDescent="0.35">
      <c r="A80" s="37">
        <v>11467</v>
      </c>
      <c r="B80" s="21" t="str">
        <f>"PRODEMGE  CIA DE TECNOL DA INFORMACAO DE MG"</f>
        <v>PRODEMGE  CIA DE TECNOL DA INFORMACAO DE MG</v>
      </c>
      <c r="C80" s="31" t="s">
        <v>213</v>
      </c>
      <c r="D80" s="31" t="s">
        <v>214</v>
      </c>
      <c r="E80" s="41">
        <v>1792296</v>
      </c>
      <c r="F80" s="41">
        <v>938827.6</v>
      </c>
      <c r="G80" s="41">
        <v>853468.4</v>
      </c>
      <c r="H80" s="21"/>
      <c r="I80" s="22" t="s">
        <v>212</v>
      </c>
      <c r="J80" s="23" t="s">
        <v>729</v>
      </c>
      <c r="K80" s="22" t="s">
        <v>730</v>
      </c>
      <c r="L80" s="22" t="s">
        <v>13</v>
      </c>
      <c r="M80" s="22" t="s">
        <v>729</v>
      </c>
      <c r="N80" s="22" t="s">
        <v>730</v>
      </c>
      <c r="O80" s="24" t="s">
        <v>213</v>
      </c>
      <c r="P80" s="24" t="s">
        <v>214</v>
      </c>
      <c r="Q80" s="21" t="s">
        <v>652</v>
      </c>
      <c r="R80" s="24" t="s">
        <v>213</v>
      </c>
    </row>
    <row r="81" spans="1:18" x14ac:dyDescent="0.35">
      <c r="A81" s="37">
        <v>11473</v>
      </c>
      <c r="B81" s="21" t="str">
        <f>"NP CAPACITACAO E SOLUCOES TECNOLOGICAS LTDA"</f>
        <v>NP CAPACITACAO E SOLUCOES TECNOLOGICAS LTDA</v>
      </c>
      <c r="C81" s="31">
        <v>45089</v>
      </c>
      <c r="D81" s="31">
        <v>46185</v>
      </c>
      <c r="E81" s="41">
        <v>70920</v>
      </c>
      <c r="F81" s="41">
        <v>70920</v>
      </c>
      <c r="G81" s="41">
        <v>0</v>
      </c>
      <c r="H81" s="21"/>
      <c r="I81" s="22" t="s">
        <v>215</v>
      </c>
      <c r="J81" s="23" t="s">
        <v>215</v>
      </c>
      <c r="K81" s="22" t="s">
        <v>13</v>
      </c>
      <c r="L81" s="22" t="s">
        <v>13</v>
      </c>
      <c r="M81" s="22" t="s">
        <v>215</v>
      </c>
      <c r="N81" s="22" t="s">
        <v>13</v>
      </c>
      <c r="O81" s="24">
        <v>45089</v>
      </c>
      <c r="P81" s="24">
        <v>46185</v>
      </c>
      <c r="Q81" s="21" t="s">
        <v>652</v>
      </c>
      <c r="R81" s="24">
        <v>45089</v>
      </c>
    </row>
    <row r="82" spans="1:18" x14ac:dyDescent="0.35">
      <c r="A82" s="37">
        <v>11478</v>
      </c>
      <c r="B82" s="21" t="str">
        <f>"GRANDE HOTEL DE ARAXA E TERMAS LTDA"</f>
        <v>GRANDE HOTEL DE ARAXA E TERMAS LTDA</v>
      </c>
      <c r="C82" s="31" t="s">
        <v>213</v>
      </c>
      <c r="D82" s="31" t="s">
        <v>23</v>
      </c>
      <c r="E82" s="41">
        <v>6244757.1399999997</v>
      </c>
      <c r="F82" s="41">
        <v>6201226.0499999998</v>
      </c>
      <c r="G82" s="41">
        <v>43531.09</v>
      </c>
      <c r="H82" s="21"/>
      <c r="I82" s="22" t="s">
        <v>216</v>
      </c>
      <c r="J82" s="23" t="s">
        <v>217</v>
      </c>
      <c r="K82" s="22" t="s">
        <v>218</v>
      </c>
      <c r="L82" s="22" t="s">
        <v>13</v>
      </c>
      <c r="M82" s="22" t="s">
        <v>217</v>
      </c>
      <c r="N82" s="22" t="s">
        <v>218</v>
      </c>
      <c r="O82" s="24" t="s">
        <v>213</v>
      </c>
      <c r="P82" s="24" t="s">
        <v>23</v>
      </c>
      <c r="Q82" s="21" t="s">
        <v>652</v>
      </c>
      <c r="R82" s="24" t="s">
        <v>213</v>
      </c>
    </row>
    <row r="83" spans="1:18" x14ac:dyDescent="0.35">
      <c r="A83" s="37">
        <v>11506</v>
      </c>
      <c r="B83" s="21" t="str">
        <f>"CRU INTERNATIONAL LIMITED"</f>
        <v>CRU INTERNATIONAL LIMITED</v>
      </c>
      <c r="C83" s="31">
        <v>44935</v>
      </c>
      <c r="D83" s="31" t="s">
        <v>733</v>
      </c>
      <c r="E83" s="41">
        <v>213316.38</v>
      </c>
      <c r="F83" s="41">
        <v>106673.74</v>
      </c>
      <c r="G83" s="41">
        <v>106642.64</v>
      </c>
      <c r="H83" s="21"/>
      <c r="I83" s="22" t="s">
        <v>731</v>
      </c>
      <c r="J83" s="23" t="s">
        <v>221</v>
      </c>
      <c r="K83" s="22" t="s">
        <v>732</v>
      </c>
      <c r="L83" s="22" t="s">
        <v>13</v>
      </c>
      <c r="M83" s="22" t="s">
        <v>221</v>
      </c>
      <c r="N83" s="22" t="s">
        <v>732</v>
      </c>
      <c r="O83" s="24">
        <v>44935</v>
      </c>
      <c r="P83" s="24" t="s">
        <v>733</v>
      </c>
      <c r="Q83" s="21" t="s">
        <v>652</v>
      </c>
      <c r="R83" s="24">
        <v>44935</v>
      </c>
    </row>
    <row r="84" spans="1:18" x14ac:dyDescent="0.35">
      <c r="A84" s="37">
        <v>11509</v>
      </c>
      <c r="B84" s="21" t="str">
        <f>"CEMIG DISTRIBUICAO S A"</f>
        <v>CEMIG DISTRIBUICAO S A</v>
      </c>
      <c r="C84" s="31" t="s">
        <v>223</v>
      </c>
      <c r="D84" s="31" t="s">
        <v>224</v>
      </c>
      <c r="E84" s="41">
        <v>165600</v>
      </c>
      <c r="F84" s="41">
        <v>88854.52</v>
      </c>
      <c r="G84" s="41">
        <v>76745.48</v>
      </c>
      <c r="H84" s="21"/>
      <c r="I84" s="22" t="s">
        <v>222</v>
      </c>
      <c r="J84" s="23" t="s">
        <v>734</v>
      </c>
      <c r="K84" s="22" t="s">
        <v>735</v>
      </c>
      <c r="L84" s="22" t="s">
        <v>13</v>
      </c>
      <c r="M84" s="22" t="s">
        <v>734</v>
      </c>
      <c r="N84" s="22" t="s">
        <v>735</v>
      </c>
      <c r="O84" s="24" t="s">
        <v>223</v>
      </c>
      <c r="P84" s="24" t="s">
        <v>224</v>
      </c>
      <c r="Q84" s="21" t="s">
        <v>652</v>
      </c>
      <c r="R84" s="24" t="s">
        <v>223</v>
      </c>
    </row>
    <row r="85" spans="1:18" x14ac:dyDescent="0.35">
      <c r="A85" s="37">
        <v>11517</v>
      </c>
      <c r="B85" s="21" t="str">
        <f>"BANCO NACIONAL DE DESENVOLVIMENTO ECONOMICO E SOCIAL"</f>
        <v>BANCO NACIONAL DE DESENVOLVIMENTO ECONOMICO E SOCIAL</v>
      </c>
      <c r="C85" s="31">
        <v>45629</v>
      </c>
      <c r="D85" s="31">
        <v>46694</v>
      </c>
      <c r="E85" s="41">
        <v>10000000</v>
      </c>
      <c r="F85" s="41">
        <v>0</v>
      </c>
      <c r="G85" s="41">
        <v>10000000</v>
      </c>
      <c r="H85" s="21"/>
      <c r="I85" s="22" t="s">
        <v>225</v>
      </c>
      <c r="J85" s="23" t="s">
        <v>16</v>
      </c>
      <c r="K85" s="22" t="s">
        <v>225</v>
      </c>
      <c r="L85" s="22" t="s">
        <v>13</v>
      </c>
      <c r="M85" s="22" t="s">
        <v>13</v>
      </c>
      <c r="N85" s="22" t="s">
        <v>225</v>
      </c>
      <c r="O85" s="24">
        <v>45629</v>
      </c>
      <c r="P85" s="24">
        <v>46694</v>
      </c>
      <c r="Q85" s="21" t="s">
        <v>652</v>
      </c>
      <c r="R85" s="24">
        <v>45629</v>
      </c>
    </row>
    <row r="86" spans="1:18" x14ac:dyDescent="0.35">
      <c r="A86" s="37">
        <v>11518</v>
      </c>
      <c r="B86" s="21" t="str">
        <f>"SECRETARIA DE ESTADO DE CULTURA"</f>
        <v>SECRETARIA DE ESTADO DE CULTURA</v>
      </c>
      <c r="C86" s="31">
        <v>45326</v>
      </c>
      <c r="D86" s="31">
        <v>46391</v>
      </c>
      <c r="E86" s="41">
        <v>12086072.6</v>
      </c>
      <c r="F86" s="41">
        <v>12086072.6</v>
      </c>
      <c r="G86" s="41">
        <v>0</v>
      </c>
      <c r="H86" s="21"/>
      <c r="I86" s="22" t="s">
        <v>226</v>
      </c>
      <c r="J86" s="23" t="s">
        <v>226</v>
      </c>
      <c r="K86" s="22" t="s">
        <v>13</v>
      </c>
      <c r="L86" s="22" t="s">
        <v>13</v>
      </c>
      <c r="M86" s="22" t="s">
        <v>226</v>
      </c>
      <c r="N86" s="22" t="s">
        <v>13</v>
      </c>
      <c r="O86" s="24">
        <v>45326</v>
      </c>
      <c r="P86" s="24">
        <v>46391</v>
      </c>
      <c r="Q86" s="21" t="s">
        <v>652</v>
      </c>
      <c r="R86" s="24">
        <v>45326</v>
      </c>
    </row>
    <row r="87" spans="1:18" x14ac:dyDescent="0.35">
      <c r="A87" s="37">
        <v>11534</v>
      </c>
      <c r="B87" s="21" t="str">
        <f>"ERNST  YOUNG ASSESSORIA EMPRESARIAL LTDA"</f>
        <v>ERNST  YOUNG ASSESSORIA EMPRESARIAL LTDA</v>
      </c>
      <c r="C87" s="31" t="s">
        <v>737</v>
      </c>
      <c r="D87" s="31">
        <v>46212</v>
      </c>
      <c r="E87" s="41">
        <v>1603017.18</v>
      </c>
      <c r="F87" s="41">
        <v>1603017.18</v>
      </c>
      <c r="G87" s="41">
        <v>0</v>
      </c>
      <c r="H87" s="21"/>
      <c r="I87" s="22" t="s">
        <v>736</v>
      </c>
      <c r="J87" s="23" t="s">
        <v>736</v>
      </c>
      <c r="K87" s="22" t="s">
        <v>13</v>
      </c>
      <c r="L87" s="22" t="s">
        <v>13</v>
      </c>
      <c r="M87" s="22" t="s">
        <v>736</v>
      </c>
      <c r="N87" s="22" t="s">
        <v>13</v>
      </c>
      <c r="O87" s="24" t="s">
        <v>737</v>
      </c>
      <c r="P87" s="24">
        <v>46212</v>
      </c>
      <c r="Q87" s="21" t="s">
        <v>652</v>
      </c>
      <c r="R87" s="24" t="s">
        <v>737</v>
      </c>
    </row>
    <row r="88" spans="1:18" x14ac:dyDescent="0.35">
      <c r="A88" s="37">
        <v>11538</v>
      </c>
      <c r="B88" s="21" t="str">
        <f>"CONTI CONSULTORIA EM TECNOLOGIA DA INFOR"</f>
        <v>CONTI CONSULTORIA EM TECNOLOGIA DA INFOR</v>
      </c>
      <c r="C88" s="31" t="s">
        <v>228</v>
      </c>
      <c r="D88" s="31" t="s">
        <v>229</v>
      </c>
      <c r="E88" s="41">
        <v>95648.52</v>
      </c>
      <c r="F88" s="41">
        <v>56058.28</v>
      </c>
      <c r="G88" s="41">
        <v>39590.239999999998</v>
      </c>
      <c r="H88" s="21"/>
      <c r="I88" s="22" t="s">
        <v>227</v>
      </c>
      <c r="J88" s="23" t="s">
        <v>738</v>
      </c>
      <c r="K88" s="22" t="s">
        <v>739</v>
      </c>
      <c r="L88" s="22" t="s">
        <v>13</v>
      </c>
      <c r="M88" s="22" t="s">
        <v>738</v>
      </c>
      <c r="N88" s="22" t="s">
        <v>739</v>
      </c>
      <c r="O88" s="24" t="s">
        <v>228</v>
      </c>
      <c r="P88" s="24" t="s">
        <v>229</v>
      </c>
      <c r="Q88" s="21" t="s">
        <v>652</v>
      </c>
      <c r="R88" s="24" t="s">
        <v>228</v>
      </c>
    </row>
    <row r="89" spans="1:18" x14ac:dyDescent="0.35">
      <c r="A89" s="37">
        <v>11539</v>
      </c>
      <c r="B89" s="21" t="str">
        <f>"ESCRITORIO DAS NACOES UNIDAS SERVICO DE  PROJETOS"</f>
        <v>ESCRITORIO DAS NACOES UNIDAS SERVICO DE  PROJETOS</v>
      </c>
      <c r="C89" s="31">
        <v>45508</v>
      </c>
      <c r="D89" s="31">
        <v>46607</v>
      </c>
      <c r="E89" s="41">
        <v>17860269.719999999</v>
      </c>
      <c r="F89" s="41">
        <v>1122278.3899999999</v>
      </c>
      <c r="G89" s="41">
        <v>16737991.33</v>
      </c>
      <c r="H89" s="21"/>
      <c r="I89" s="22" t="s">
        <v>230</v>
      </c>
      <c r="J89" s="23" t="s">
        <v>231</v>
      </c>
      <c r="K89" s="22" t="s">
        <v>232</v>
      </c>
      <c r="L89" s="22" t="s">
        <v>13</v>
      </c>
      <c r="M89" s="22" t="s">
        <v>231</v>
      </c>
      <c r="N89" s="22" t="s">
        <v>232</v>
      </c>
      <c r="O89" s="24">
        <v>45508</v>
      </c>
      <c r="P89" s="24">
        <v>46607</v>
      </c>
      <c r="Q89" s="21" t="s">
        <v>652</v>
      </c>
      <c r="R89" s="24">
        <v>45508</v>
      </c>
    </row>
    <row r="90" spans="1:18" x14ac:dyDescent="0.35">
      <c r="A90" s="37">
        <v>11541</v>
      </c>
      <c r="B90" s="21" t="str">
        <f>"ZENITE INFORMACAO E CONSULTORIA S A"</f>
        <v>ZENITE INFORMACAO E CONSULTORIA S A</v>
      </c>
      <c r="C90" s="31">
        <v>45540</v>
      </c>
      <c r="D90" s="31">
        <v>46635</v>
      </c>
      <c r="E90" s="41">
        <v>28685.21</v>
      </c>
      <c r="F90" s="41">
        <v>28685.21</v>
      </c>
      <c r="G90" s="41">
        <v>0</v>
      </c>
      <c r="H90" s="21"/>
      <c r="I90" s="22" t="s">
        <v>233</v>
      </c>
      <c r="J90" s="23" t="s">
        <v>233</v>
      </c>
      <c r="K90" s="22" t="s">
        <v>13</v>
      </c>
      <c r="L90" s="22" t="s">
        <v>13</v>
      </c>
      <c r="M90" s="22" t="s">
        <v>233</v>
      </c>
      <c r="N90" s="22" t="s">
        <v>13</v>
      </c>
      <c r="O90" s="24">
        <v>45540</v>
      </c>
      <c r="P90" s="24">
        <v>46635</v>
      </c>
      <c r="Q90" s="21" t="s">
        <v>652</v>
      </c>
      <c r="R90" s="24">
        <v>45540</v>
      </c>
    </row>
    <row r="91" spans="1:18" x14ac:dyDescent="0.35">
      <c r="A91" s="37">
        <v>11543</v>
      </c>
      <c r="B91" s="21" t="str">
        <f>"RADAR PPP LTDA"</f>
        <v>RADAR PPP LTDA</v>
      </c>
      <c r="C91" s="31" t="s">
        <v>234</v>
      </c>
      <c r="D91" s="31" t="s">
        <v>237</v>
      </c>
      <c r="E91" s="41">
        <v>1004967.84</v>
      </c>
      <c r="F91" s="41">
        <v>776342.56</v>
      </c>
      <c r="G91" s="41">
        <v>228625.28</v>
      </c>
      <c r="H91" s="21"/>
      <c r="I91" s="22" t="s">
        <v>236</v>
      </c>
      <c r="J91" s="23" t="s">
        <v>740</v>
      </c>
      <c r="K91" s="22" t="s">
        <v>741</v>
      </c>
      <c r="L91" s="22" t="s">
        <v>13</v>
      </c>
      <c r="M91" s="22" t="s">
        <v>740</v>
      </c>
      <c r="N91" s="22" t="s">
        <v>741</v>
      </c>
      <c r="O91" s="24" t="s">
        <v>234</v>
      </c>
      <c r="P91" s="24" t="s">
        <v>237</v>
      </c>
      <c r="Q91" s="21" t="s">
        <v>652</v>
      </c>
      <c r="R91" s="24" t="s">
        <v>234</v>
      </c>
    </row>
    <row r="92" spans="1:18" x14ac:dyDescent="0.35">
      <c r="A92" s="37">
        <v>11544</v>
      </c>
      <c r="B92" s="21" t="str">
        <f>"KEPLER VIAGENS EVENTOS E TURISMO EIRELI"</f>
        <v>KEPLER VIAGENS EVENTOS E TURISMO EIRELI</v>
      </c>
      <c r="C92" s="31" t="s">
        <v>234</v>
      </c>
      <c r="D92" s="31" t="s">
        <v>235</v>
      </c>
      <c r="E92" s="41">
        <v>1006231.79</v>
      </c>
      <c r="F92" s="41">
        <v>574920.52</v>
      </c>
      <c r="G92" s="41">
        <v>431311.27</v>
      </c>
      <c r="H92" s="21"/>
      <c r="I92" s="22" t="s">
        <v>238</v>
      </c>
      <c r="J92" s="23" t="s">
        <v>239</v>
      </c>
      <c r="K92" s="22" t="s">
        <v>240</v>
      </c>
      <c r="L92" s="22" t="s">
        <v>13</v>
      </c>
      <c r="M92" s="22" t="s">
        <v>239</v>
      </c>
      <c r="N92" s="22" t="s">
        <v>240</v>
      </c>
      <c r="O92" s="24" t="s">
        <v>234</v>
      </c>
      <c r="P92" s="24" t="s">
        <v>235</v>
      </c>
      <c r="Q92" s="21" t="s">
        <v>652</v>
      </c>
      <c r="R92" s="24" t="s">
        <v>234</v>
      </c>
    </row>
    <row r="93" spans="1:18" x14ac:dyDescent="0.35">
      <c r="A93" s="37">
        <v>11546</v>
      </c>
      <c r="B93" s="21" t="str">
        <f>"GONTIJO CALDAS  FLEURY ADVOGADOS ASSOCIADOS"</f>
        <v>GONTIJO CALDAS  FLEURY ADVOGADOS ASSOCIADOS</v>
      </c>
      <c r="C93" s="31" t="s">
        <v>242</v>
      </c>
      <c r="D93" s="31" t="s">
        <v>243</v>
      </c>
      <c r="E93" s="41">
        <v>50000</v>
      </c>
      <c r="F93" s="41">
        <v>40000</v>
      </c>
      <c r="G93" s="41">
        <v>10000</v>
      </c>
      <c r="H93" s="21"/>
      <c r="I93" s="22" t="s">
        <v>241</v>
      </c>
      <c r="J93" s="23" t="s">
        <v>62</v>
      </c>
      <c r="K93" s="22" t="s">
        <v>20</v>
      </c>
      <c r="L93" s="22" t="s">
        <v>13</v>
      </c>
      <c r="M93" s="22" t="s">
        <v>62</v>
      </c>
      <c r="N93" s="22" t="s">
        <v>20</v>
      </c>
      <c r="O93" s="24" t="s">
        <v>242</v>
      </c>
      <c r="P93" s="24" t="s">
        <v>243</v>
      </c>
      <c r="Q93" s="21" t="s">
        <v>652</v>
      </c>
      <c r="R93" s="24" t="s">
        <v>242</v>
      </c>
    </row>
    <row r="94" spans="1:18" x14ac:dyDescent="0.35">
      <c r="A94" s="37">
        <v>11560</v>
      </c>
      <c r="B94" s="21" t="str">
        <f>"ASSOCIACAO DE  PAIS  AMIGOS E  MESTRES  DO COLEGIO  MILITAR  DE BELO HORIZONTE"</f>
        <v>ASSOCIACAO DE  PAIS  AMIGOS E  MESTRES  DO COLEGIO  MILITAR  DE BELO HORIZONTE</v>
      </c>
      <c r="C94" s="31">
        <v>45449</v>
      </c>
      <c r="D94" s="31" t="s">
        <v>246</v>
      </c>
      <c r="E94" s="41">
        <v>1347831.45</v>
      </c>
      <c r="F94" s="41">
        <v>1347831.45</v>
      </c>
      <c r="G94" s="41">
        <v>0</v>
      </c>
      <c r="H94" s="21"/>
      <c r="I94" s="22" t="s">
        <v>245</v>
      </c>
      <c r="J94" s="23" t="s">
        <v>245</v>
      </c>
      <c r="K94" s="22" t="s">
        <v>13</v>
      </c>
      <c r="L94" s="22" t="s">
        <v>13</v>
      </c>
      <c r="M94" s="22" t="s">
        <v>245</v>
      </c>
      <c r="N94" s="22" t="s">
        <v>13</v>
      </c>
      <c r="O94" s="24">
        <v>45449</v>
      </c>
      <c r="P94" s="24" t="s">
        <v>246</v>
      </c>
      <c r="Q94" s="21" t="s">
        <v>652</v>
      </c>
      <c r="R94" s="24">
        <v>45449</v>
      </c>
    </row>
    <row r="95" spans="1:18" x14ac:dyDescent="0.35">
      <c r="A95" s="37">
        <v>11568</v>
      </c>
      <c r="B95" s="21" t="str">
        <f>"CEMIG DISTRIBUICAO S A"</f>
        <v>CEMIG DISTRIBUICAO S A</v>
      </c>
      <c r="C95" s="31" t="s">
        <v>248</v>
      </c>
      <c r="D95" s="31" t="s">
        <v>249</v>
      </c>
      <c r="E95" s="41">
        <v>545544.03</v>
      </c>
      <c r="F95" s="41">
        <v>492541.71</v>
      </c>
      <c r="G95" s="41">
        <v>53002.32</v>
      </c>
      <c r="H95" s="21"/>
      <c r="I95" s="22" t="s">
        <v>247</v>
      </c>
      <c r="J95" s="23" t="s">
        <v>742</v>
      </c>
      <c r="K95" s="22" t="s">
        <v>743</v>
      </c>
      <c r="L95" s="22" t="s">
        <v>13</v>
      </c>
      <c r="M95" s="22" t="s">
        <v>742</v>
      </c>
      <c r="N95" s="22" t="s">
        <v>743</v>
      </c>
      <c r="O95" s="24" t="s">
        <v>248</v>
      </c>
      <c r="P95" s="24" t="s">
        <v>249</v>
      </c>
      <c r="Q95" s="21" t="s">
        <v>652</v>
      </c>
      <c r="R95" s="24" t="s">
        <v>248</v>
      </c>
    </row>
    <row r="96" spans="1:18" x14ac:dyDescent="0.35">
      <c r="A96" s="37">
        <v>11587</v>
      </c>
      <c r="B96" s="21" t="str">
        <f>"CENTRO SALESIANO DO MENOR  CESAM"</f>
        <v>CENTRO SALESIANO DO MENOR  CESAM</v>
      </c>
      <c r="C96" s="31" t="s">
        <v>251</v>
      </c>
      <c r="D96" s="31" t="s">
        <v>246</v>
      </c>
      <c r="E96" s="41">
        <v>348850.12</v>
      </c>
      <c r="F96" s="41">
        <v>133561.74</v>
      </c>
      <c r="G96" s="41">
        <v>215288.38</v>
      </c>
      <c r="H96" s="21"/>
      <c r="I96" s="22" t="s">
        <v>744</v>
      </c>
      <c r="J96" s="23" t="s">
        <v>250</v>
      </c>
      <c r="K96" s="22" t="s">
        <v>745</v>
      </c>
      <c r="L96" s="22" t="s">
        <v>13</v>
      </c>
      <c r="M96" s="22" t="s">
        <v>250</v>
      </c>
      <c r="N96" s="22" t="s">
        <v>745</v>
      </c>
      <c r="O96" s="24" t="s">
        <v>251</v>
      </c>
      <c r="P96" s="24" t="s">
        <v>246</v>
      </c>
      <c r="Q96" s="21" t="s">
        <v>652</v>
      </c>
      <c r="R96" s="24" t="s">
        <v>251</v>
      </c>
    </row>
    <row r="97" spans="1:18" x14ac:dyDescent="0.35">
      <c r="A97" s="37">
        <v>11588</v>
      </c>
      <c r="B97" s="21" t="str">
        <f>"FORT SECURE TECNOLOGIA LTDA"</f>
        <v>FORT SECURE TECNOLOGIA LTDA</v>
      </c>
      <c r="C97" s="31" t="s">
        <v>253</v>
      </c>
      <c r="D97" s="31" t="s">
        <v>254</v>
      </c>
      <c r="E97" s="41">
        <v>216032</v>
      </c>
      <c r="F97" s="41">
        <v>203032</v>
      </c>
      <c r="G97" s="41">
        <v>13000</v>
      </c>
      <c r="H97" s="21"/>
      <c r="I97" s="22" t="s">
        <v>252</v>
      </c>
      <c r="J97" s="23" t="s">
        <v>746</v>
      </c>
      <c r="K97" s="22" t="s">
        <v>747</v>
      </c>
      <c r="L97" s="22" t="s">
        <v>13</v>
      </c>
      <c r="M97" s="22" t="s">
        <v>746</v>
      </c>
      <c r="N97" s="22" t="s">
        <v>747</v>
      </c>
      <c r="O97" s="24" t="s">
        <v>253</v>
      </c>
      <c r="P97" s="24" t="s">
        <v>254</v>
      </c>
      <c r="Q97" s="21" t="s">
        <v>652</v>
      </c>
      <c r="R97" s="24" t="s">
        <v>253</v>
      </c>
    </row>
    <row r="98" spans="1:18" x14ac:dyDescent="0.35">
      <c r="A98" s="37">
        <v>11593</v>
      </c>
      <c r="B98" s="21" t="str">
        <f>"ARARAUNA TURISMO ECOLOGICO LTDA"</f>
        <v>ARARAUNA TURISMO ECOLOGICO LTDA</v>
      </c>
      <c r="C98" s="31" t="s">
        <v>256</v>
      </c>
      <c r="D98" s="31" t="s">
        <v>257</v>
      </c>
      <c r="E98" s="41">
        <v>36000000.75</v>
      </c>
      <c r="F98" s="41">
        <v>4264574.1900000004</v>
      </c>
      <c r="G98" s="41">
        <v>31735426.559999999</v>
      </c>
      <c r="H98" s="21"/>
      <c r="I98" s="22" t="s">
        <v>255</v>
      </c>
      <c r="J98" s="23" t="s">
        <v>748</v>
      </c>
      <c r="K98" s="22" t="s">
        <v>749</v>
      </c>
      <c r="L98" s="22" t="s">
        <v>13</v>
      </c>
      <c r="M98" s="22" t="s">
        <v>748</v>
      </c>
      <c r="N98" s="22" t="s">
        <v>749</v>
      </c>
      <c r="O98" s="24" t="s">
        <v>256</v>
      </c>
      <c r="P98" s="24" t="s">
        <v>257</v>
      </c>
      <c r="Q98" s="21" t="s">
        <v>652</v>
      </c>
      <c r="R98" s="24" t="s">
        <v>256</v>
      </c>
    </row>
    <row r="99" spans="1:18" x14ac:dyDescent="0.35">
      <c r="A99" s="37">
        <v>11594</v>
      </c>
      <c r="B99" s="21" t="str">
        <f>"LIGA DESPORTIVA DO ALTO RIO PARDO"</f>
        <v>LIGA DESPORTIVA DO ALTO RIO PARDO</v>
      </c>
      <c r="C99" s="31" t="s">
        <v>259</v>
      </c>
      <c r="D99" s="31" t="s">
        <v>192</v>
      </c>
      <c r="E99" s="41">
        <v>598461.64</v>
      </c>
      <c r="F99" s="41">
        <v>598461.64</v>
      </c>
      <c r="G99" s="41">
        <v>0</v>
      </c>
      <c r="H99" s="21"/>
      <c r="I99" s="22" t="s">
        <v>258</v>
      </c>
      <c r="J99" s="23" t="s">
        <v>258</v>
      </c>
      <c r="K99" s="22" t="s">
        <v>13</v>
      </c>
      <c r="L99" s="22" t="s">
        <v>13</v>
      </c>
      <c r="M99" s="22" t="s">
        <v>258</v>
      </c>
      <c r="N99" s="22" t="s">
        <v>13</v>
      </c>
      <c r="O99" s="24" t="s">
        <v>259</v>
      </c>
      <c r="P99" s="24" t="s">
        <v>192</v>
      </c>
      <c r="Q99" s="21" t="s">
        <v>652</v>
      </c>
      <c r="R99" s="24" t="s">
        <v>259</v>
      </c>
    </row>
    <row r="100" spans="1:18" x14ac:dyDescent="0.35">
      <c r="A100" s="37">
        <v>11635</v>
      </c>
      <c r="B100" s="21" t="str">
        <f>"OPEN TREINAMENTOS EMPRESARIAIS E EDITORA LTDA EPP"</f>
        <v>OPEN TREINAMENTOS EMPRESARIAIS E EDITORA LTDA EPP</v>
      </c>
      <c r="C100" s="31">
        <v>45542</v>
      </c>
      <c r="D100" s="31">
        <v>46972</v>
      </c>
      <c r="E100" s="41">
        <v>30610.7</v>
      </c>
      <c r="F100" s="41">
        <v>22692.09</v>
      </c>
      <c r="G100" s="41">
        <v>7918.61</v>
      </c>
      <c r="H100" s="21"/>
      <c r="I100" s="22" t="s">
        <v>260</v>
      </c>
      <c r="J100" s="23" t="s">
        <v>261</v>
      </c>
      <c r="K100" s="22" t="s">
        <v>262</v>
      </c>
      <c r="L100" s="22" t="s">
        <v>13</v>
      </c>
      <c r="M100" s="22" t="s">
        <v>261</v>
      </c>
      <c r="N100" s="22" t="s">
        <v>262</v>
      </c>
      <c r="O100" s="24">
        <v>45542</v>
      </c>
      <c r="P100" s="24">
        <v>46972</v>
      </c>
      <c r="Q100" s="21" t="s">
        <v>652</v>
      </c>
      <c r="R100" s="24">
        <v>45542</v>
      </c>
    </row>
    <row r="101" spans="1:18" x14ac:dyDescent="0.35">
      <c r="A101" s="37">
        <v>11636</v>
      </c>
      <c r="B101" s="21" t="str">
        <f>"AGNES AG SOLUCOES TECNOLOGICAS LTDA"</f>
        <v>AGNES AG SOLUCOES TECNOLOGICAS LTDA</v>
      </c>
      <c r="C101" s="31" t="s">
        <v>264</v>
      </c>
      <c r="D101" s="31" t="s">
        <v>265</v>
      </c>
      <c r="E101" s="41">
        <v>362836</v>
      </c>
      <c r="F101" s="41">
        <v>136392.18</v>
      </c>
      <c r="G101" s="41">
        <v>226443.82</v>
      </c>
      <c r="H101" s="21"/>
      <c r="I101" s="22" t="s">
        <v>263</v>
      </c>
      <c r="J101" s="23" t="s">
        <v>750</v>
      </c>
      <c r="K101" s="22" t="s">
        <v>751</v>
      </c>
      <c r="L101" s="22" t="s">
        <v>13</v>
      </c>
      <c r="M101" s="22" t="s">
        <v>750</v>
      </c>
      <c r="N101" s="22" t="s">
        <v>751</v>
      </c>
      <c r="O101" s="24" t="s">
        <v>264</v>
      </c>
      <c r="P101" s="24" t="s">
        <v>265</v>
      </c>
      <c r="Q101" s="21" t="s">
        <v>652</v>
      </c>
      <c r="R101" s="24" t="s">
        <v>264</v>
      </c>
    </row>
    <row r="102" spans="1:18" x14ac:dyDescent="0.35">
      <c r="A102" s="37">
        <v>11641</v>
      </c>
      <c r="B102" s="21" t="str">
        <f>"PERFIX ASSESSORIA E CONSULTORIA LTDA"</f>
        <v>PERFIX ASSESSORIA E CONSULTORIA LTDA</v>
      </c>
      <c r="C102" s="31">
        <v>45603</v>
      </c>
      <c r="D102" s="31">
        <v>46722</v>
      </c>
      <c r="E102" s="41">
        <v>241000</v>
      </c>
      <c r="F102" s="41">
        <v>222925</v>
      </c>
      <c r="G102" s="41">
        <v>18075</v>
      </c>
      <c r="H102" s="21"/>
      <c r="I102" s="22" t="s">
        <v>266</v>
      </c>
      <c r="J102" s="23" t="s">
        <v>267</v>
      </c>
      <c r="K102" s="22" t="s">
        <v>268</v>
      </c>
      <c r="L102" s="22" t="s">
        <v>13</v>
      </c>
      <c r="M102" s="22" t="s">
        <v>267</v>
      </c>
      <c r="N102" s="22" t="s">
        <v>268</v>
      </c>
      <c r="O102" s="24">
        <v>45603</v>
      </c>
      <c r="P102" s="24">
        <v>46722</v>
      </c>
      <c r="Q102" s="21" t="s">
        <v>652</v>
      </c>
      <c r="R102" s="24">
        <v>45603</v>
      </c>
    </row>
    <row r="103" spans="1:18" x14ac:dyDescent="0.35">
      <c r="A103" s="37">
        <v>11646</v>
      </c>
      <c r="B103" s="21" t="str">
        <f>"CARMO E DELGADO GEOLOGOS CONSULT LTDA"</f>
        <v>CARMO E DELGADO GEOLOGOS CONSULT LTDA</v>
      </c>
      <c r="C103" s="31">
        <v>45572</v>
      </c>
      <c r="D103" s="31">
        <v>47035</v>
      </c>
      <c r="E103" s="41">
        <v>1477799</v>
      </c>
      <c r="F103" s="41">
        <v>590688.18000000005</v>
      </c>
      <c r="G103" s="41">
        <v>887110.82</v>
      </c>
      <c r="H103" s="21"/>
      <c r="I103" s="22" t="s">
        <v>752</v>
      </c>
      <c r="J103" s="23" t="s">
        <v>269</v>
      </c>
      <c r="K103" s="22" t="s">
        <v>753</v>
      </c>
      <c r="L103" s="22" t="s">
        <v>13</v>
      </c>
      <c r="M103" s="22" t="s">
        <v>269</v>
      </c>
      <c r="N103" s="22" t="s">
        <v>753</v>
      </c>
      <c r="O103" s="24">
        <v>45572</v>
      </c>
      <c r="P103" s="24">
        <v>47035</v>
      </c>
      <c r="Q103" s="21" t="s">
        <v>652</v>
      </c>
      <c r="R103" s="24">
        <v>45572</v>
      </c>
    </row>
    <row r="104" spans="1:18" x14ac:dyDescent="0.35">
      <c r="A104" s="37">
        <v>11647</v>
      </c>
      <c r="B104" s="21" t="str">
        <f>"PREFEITURA MUNICIPAL DE LAMBARI"</f>
        <v>PREFEITURA MUNICIPAL DE LAMBARI</v>
      </c>
      <c r="C104" s="31">
        <v>45633</v>
      </c>
      <c r="D104" s="31" t="s">
        <v>14</v>
      </c>
      <c r="E104" s="41">
        <v>32500000</v>
      </c>
      <c r="F104" s="41">
        <v>0</v>
      </c>
      <c r="G104" s="41">
        <v>32500000</v>
      </c>
      <c r="H104" s="21"/>
      <c r="I104" s="22" t="s">
        <v>270</v>
      </c>
      <c r="J104" s="23" t="s">
        <v>16</v>
      </c>
      <c r="K104" s="22" t="s">
        <v>270</v>
      </c>
      <c r="L104" s="22" t="s">
        <v>13</v>
      </c>
      <c r="M104" s="22" t="s">
        <v>13</v>
      </c>
      <c r="N104" s="22" t="s">
        <v>270</v>
      </c>
      <c r="O104" s="24">
        <v>45633</v>
      </c>
      <c r="P104" s="24" t="s">
        <v>14</v>
      </c>
      <c r="Q104" s="21" t="s">
        <v>652</v>
      </c>
      <c r="R104" s="24">
        <v>45633</v>
      </c>
    </row>
    <row r="105" spans="1:18" x14ac:dyDescent="0.35">
      <c r="A105" s="37">
        <v>11648</v>
      </c>
      <c r="B105" s="21" t="str">
        <f>"PREFEITURA MUNICIPAL DE RIBEIRAO DAS NEVES"</f>
        <v>PREFEITURA MUNICIPAL DE RIBEIRAO DAS NEVES</v>
      </c>
      <c r="C105" s="31" t="s">
        <v>272</v>
      </c>
      <c r="D105" s="31" t="s">
        <v>14</v>
      </c>
      <c r="E105" s="41">
        <v>4650000</v>
      </c>
      <c r="F105" s="41">
        <v>0</v>
      </c>
      <c r="G105" s="41">
        <v>4650000</v>
      </c>
      <c r="H105" s="21"/>
      <c r="I105" s="22" t="s">
        <v>271</v>
      </c>
      <c r="J105" s="23" t="s">
        <v>16</v>
      </c>
      <c r="K105" s="22" t="s">
        <v>271</v>
      </c>
      <c r="L105" s="22" t="s">
        <v>13</v>
      </c>
      <c r="M105" s="22" t="s">
        <v>13</v>
      </c>
      <c r="N105" s="22" t="s">
        <v>271</v>
      </c>
      <c r="O105" s="24" t="s">
        <v>272</v>
      </c>
      <c r="P105" s="24" t="s">
        <v>14</v>
      </c>
      <c r="Q105" s="21" t="s">
        <v>652</v>
      </c>
      <c r="R105" s="24" t="s">
        <v>272</v>
      </c>
    </row>
    <row r="106" spans="1:18" x14ac:dyDescent="0.35">
      <c r="A106" s="37">
        <v>11650</v>
      </c>
      <c r="B106" s="21" t="str">
        <f>"PREFEITURA MUNICIPAL DE CAMBUQUIRA"</f>
        <v>PREFEITURA MUNICIPAL DE CAMBUQUIRA</v>
      </c>
      <c r="C106" s="31">
        <v>45419</v>
      </c>
      <c r="D106" s="31" t="s">
        <v>14</v>
      </c>
      <c r="E106" s="41">
        <v>2068396.54</v>
      </c>
      <c r="F106" s="41">
        <v>0</v>
      </c>
      <c r="G106" s="41">
        <v>2068396.54</v>
      </c>
      <c r="H106" s="21"/>
      <c r="I106" s="22" t="s">
        <v>273</v>
      </c>
      <c r="J106" s="23" t="s">
        <v>16</v>
      </c>
      <c r="K106" s="22" t="s">
        <v>273</v>
      </c>
      <c r="L106" s="22" t="s">
        <v>13</v>
      </c>
      <c r="M106" s="22" t="s">
        <v>13</v>
      </c>
      <c r="N106" s="22" t="s">
        <v>273</v>
      </c>
      <c r="O106" s="24">
        <v>45419</v>
      </c>
      <c r="P106" s="24" t="s">
        <v>14</v>
      </c>
      <c r="Q106" s="21" t="s">
        <v>652</v>
      </c>
      <c r="R106" s="24">
        <v>45419</v>
      </c>
    </row>
    <row r="107" spans="1:18" x14ac:dyDescent="0.35">
      <c r="A107" s="37">
        <v>11655</v>
      </c>
      <c r="B107" s="21" t="str">
        <f>"LICITAR DIGITAL SERVICOS EM TECNOLOGIA DA INFORMACAO LTDA"</f>
        <v>LICITAR DIGITAL SERVICOS EM TECNOLOGIA DA INFORMACAO LTDA</v>
      </c>
      <c r="C107" s="31" t="s">
        <v>244</v>
      </c>
      <c r="D107" s="31" t="s">
        <v>277</v>
      </c>
      <c r="E107" s="41">
        <v>931102.28</v>
      </c>
      <c r="F107" s="41">
        <v>322150.45</v>
      </c>
      <c r="G107" s="41">
        <v>608951.82999999996</v>
      </c>
      <c r="H107" s="21"/>
      <c r="I107" s="22" t="s">
        <v>274</v>
      </c>
      <c r="J107" s="23" t="s">
        <v>275</v>
      </c>
      <c r="K107" s="22" t="s">
        <v>276</v>
      </c>
      <c r="L107" s="22" t="s">
        <v>13</v>
      </c>
      <c r="M107" s="22" t="s">
        <v>275</v>
      </c>
      <c r="N107" s="22" t="s">
        <v>276</v>
      </c>
      <c r="O107" s="24" t="s">
        <v>244</v>
      </c>
      <c r="P107" s="24" t="s">
        <v>277</v>
      </c>
      <c r="Q107" s="21" t="s">
        <v>652</v>
      </c>
      <c r="R107" s="24" t="s">
        <v>244</v>
      </c>
    </row>
    <row r="108" spans="1:18" x14ac:dyDescent="0.35">
      <c r="A108" s="37">
        <v>11659</v>
      </c>
      <c r="B108" s="21" t="str">
        <f>"CAUANNA  SERVICOS DE GRAFICA  RAPIDA  LTDA"</f>
        <v>CAUANNA  SERVICOS DE GRAFICA  RAPIDA  LTDA</v>
      </c>
      <c r="C108" s="31" t="s">
        <v>279</v>
      </c>
      <c r="D108" s="31" t="s">
        <v>280</v>
      </c>
      <c r="E108" s="41">
        <v>2416584.12</v>
      </c>
      <c r="F108" s="41">
        <v>1465187.58</v>
      </c>
      <c r="G108" s="41">
        <v>951396.54</v>
      </c>
      <c r="H108" s="21"/>
      <c r="I108" s="22" t="s">
        <v>278</v>
      </c>
      <c r="J108" s="23" t="s">
        <v>754</v>
      </c>
      <c r="K108" s="22" t="s">
        <v>755</v>
      </c>
      <c r="L108" s="22" t="s">
        <v>13</v>
      </c>
      <c r="M108" s="22" t="s">
        <v>754</v>
      </c>
      <c r="N108" s="22" t="s">
        <v>755</v>
      </c>
      <c r="O108" s="24" t="s">
        <v>279</v>
      </c>
      <c r="P108" s="24" t="s">
        <v>280</v>
      </c>
      <c r="Q108" s="21" t="s">
        <v>652</v>
      </c>
      <c r="R108" s="24" t="s">
        <v>279</v>
      </c>
    </row>
    <row r="109" spans="1:18" x14ac:dyDescent="0.35">
      <c r="A109" s="37">
        <v>11665</v>
      </c>
      <c r="B109" s="21" t="str">
        <f>"PTV DO BRASIL  IMPORTACAO  LICENCAS  E  SUPORTE   DE SOFTWARE  LTDA"</f>
        <v>PTV DO BRASIL  IMPORTACAO  LICENCAS  E  SUPORTE   DE SOFTWARE  LTDA</v>
      </c>
      <c r="C109" s="31" t="s">
        <v>283</v>
      </c>
      <c r="D109" s="31" t="s">
        <v>284</v>
      </c>
      <c r="E109" s="41">
        <v>1867210</v>
      </c>
      <c r="F109" s="41">
        <v>1867210</v>
      </c>
      <c r="G109" s="41">
        <v>0</v>
      </c>
      <c r="H109" s="21"/>
      <c r="I109" s="22" t="s">
        <v>282</v>
      </c>
      <c r="J109" s="23" t="s">
        <v>282</v>
      </c>
      <c r="K109" s="22" t="s">
        <v>13</v>
      </c>
      <c r="L109" s="22" t="s">
        <v>13</v>
      </c>
      <c r="M109" s="22" t="s">
        <v>282</v>
      </c>
      <c r="N109" s="22" t="s">
        <v>13</v>
      </c>
      <c r="O109" s="24" t="s">
        <v>283</v>
      </c>
      <c r="P109" s="24" t="s">
        <v>284</v>
      </c>
      <c r="Q109" s="21" t="s">
        <v>652</v>
      </c>
      <c r="R109" s="24" t="s">
        <v>283</v>
      </c>
    </row>
    <row r="110" spans="1:18" x14ac:dyDescent="0.35">
      <c r="A110" s="37">
        <v>11669</v>
      </c>
      <c r="B110" s="21" t="str">
        <f>"EDITORA NEGOCIOS PUBLICOS DO BRASIL EIRELI"</f>
        <v>EDITORA NEGOCIOS PUBLICOS DO BRASIL EIRELI</v>
      </c>
      <c r="C110" s="31">
        <v>45360</v>
      </c>
      <c r="D110" s="31">
        <v>46455</v>
      </c>
      <c r="E110" s="41">
        <v>23071.279999999999</v>
      </c>
      <c r="F110" s="41">
        <v>15006.79</v>
      </c>
      <c r="G110" s="41">
        <v>8064.49</v>
      </c>
      <c r="H110" s="21"/>
      <c r="I110" s="22" t="s">
        <v>756</v>
      </c>
      <c r="J110" s="23" t="s">
        <v>285</v>
      </c>
      <c r="K110" s="22" t="s">
        <v>757</v>
      </c>
      <c r="L110" s="22" t="s">
        <v>13</v>
      </c>
      <c r="M110" s="22" t="s">
        <v>285</v>
      </c>
      <c r="N110" s="22" t="s">
        <v>757</v>
      </c>
      <c r="O110" s="24">
        <v>45360</v>
      </c>
      <c r="P110" s="24">
        <v>46455</v>
      </c>
      <c r="Q110" s="21" t="s">
        <v>652</v>
      </c>
      <c r="R110" s="24">
        <v>45360</v>
      </c>
    </row>
    <row r="111" spans="1:18" x14ac:dyDescent="0.35">
      <c r="A111" s="37">
        <v>11672</v>
      </c>
      <c r="B111" s="21" t="str">
        <f>"NACIONAL GAS  BUTANO DISTRIBUIODORA  LTDA"</f>
        <v>NACIONAL GAS  BUTANO DISTRIBUIODORA  LTDA</v>
      </c>
      <c r="C111" s="31">
        <v>45605</v>
      </c>
      <c r="D111" s="31">
        <v>47066</v>
      </c>
      <c r="E111" s="41">
        <v>664350</v>
      </c>
      <c r="F111" s="41">
        <v>174638.74</v>
      </c>
      <c r="G111" s="41">
        <v>489711.26</v>
      </c>
      <c r="H111" s="21"/>
      <c r="I111" s="22" t="s">
        <v>758</v>
      </c>
      <c r="J111" s="23" t="s">
        <v>759</v>
      </c>
      <c r="K111" s="22" t="s">
        <v>760</v>
      </c>
      <c r="L111" s="22" t="s">
        <v>13</v>
      </c>
      <c r="M111" s="22" t="s">
        <v>759</v>
      </c>
      <c r="N111" s="22" t="s">
        <v>760</v>
      </c>
      <c r="O111" s="24">
        <v>45605</v>
      </c>
      <c r="P111" s="24">
        <v>47066</v>
      </c>
      <c r="Q111" s="21" t="s">
        <v>652</v>
      </c>
      <c r="R111" s="24">
        <v>45605</v>
      </c>
    </row>
    <row r="112" spans="1:18" x14ac:dyDescent="0.35">
      <c r="A112" s="37">
        <v>11686</v>
      </c>
      <c r="B112" s="21" t="str">
        <f>"GGB CLINICA  E ENGENHARIA LTDA"</f>
        <v>GGB CLINICA  E ENGENHARIA LTDA</v>
      </c>
      <c r="C112" s="31">
        <v>45301</v>
      </c>
      <c r="D112" s="31">
        <v>46397</v>
      </c>
      <c r="E112" s="41">
        <v>95198.43</v>
      </c>
      <c r="F112" s="41">
        <v>57334</v>
      </c>
      <c r="G112" s="41">
        <v>37864.43</v>
      </c>
      <c r="H112" s="21"/>
      <c r="I112" s="22" t="s">
        <v>286</v>
      </c>
      <c r="J112" s="23" t="s">
        <v>761</v>
      </c>
      <c r="K112" s="22" t="s">
        <v>762</v>
      </c>
      <c r="L112" s="22" t="s">
        <v>13</v>
      </c>
      <c r="M112" s="22" t="s">
        <v>761</v>
      </c>
      <c r="N112" s="22" t="s">
        <v>762</v>
      </c>
      <c r="O112" s="24">
        <v>45301</v>
      </c>
      <c r="P112" s="24">
        <v>46397</v>
      </c>
      <c r="Q112" s="21" t="s">
        <v>652</v>
      </c>
      <c r="R112" s="24">
        <v>45301</v>
      </c>
    </row>
    <row r="113" spans="1:18" x14ac:dyDescent="0.35">
      <c r="A113" s="37">
        <v>11690</v>
      </c>
      <c r="B113" s="21" t="str">
        <f>"SOFTEXPERT SOFTWARE SA"</f>
        <v>SOFTEXPERT SOFTWARE SA</v>
      </c>
      <c r="C113" s="31">
        <v>45606</v>
      </c>
      <c r="D113" s="31">
        <v>47401</v>
      </c>
      <c r="E113" s="41">
        <v>1397336.45</v>
      </c>
      <c r="F113" s="41">
        <v>638884.97</v>
      </c>
      <c r="G113" s="41">
        <v>758451.48</v>
      </c>
      <c r="H113" s="21"/>
      <c r="I113" s="22" t="s">
        <v>287</v>
      </c>
      <c r="J113" s="23" t="s">
        <v>763</v>
      </c>
      <c r="K113" s="22" t="s">
        <v>764</v>
      </c>
      <c r="L113" s="22" t="s">
        <v>13</v>
      </c>
      <c r="M113" s="22" t="s">
        <v>763</v>
      </c>
      <c r="N113" s="22" t="s">
        <v>764</v>
      </c>
      <c r="O113" s="24">
        <v>45606</v>
      </c>
      <c r="P113" s="24">
        <v>47401</v>
      </c>
      <c r="Q113" s="21" t="s">
        <v>652</v>
      </c>
      <c r="R113" s="24">
        <v>45606</v>
      </c>
    </row>
    <row r="114" spans="1:18" x14ac:dyDescent="0.35">
      <c r="A114" s="37">
        <v>11694</v>
      </c>
      <c r="B114" s="21" t="str">
        <f>"GRI BRAZIL EVENTOS LTDA"</f>
        <v>GRI BRAZIL EVENTOS LTDA</v>
      </c>
      <c r="C114" s="31">
        <v>45606</v>
      </c>
      <c r="D114" s="31">
        <v>46336</v>
      </c>
      <c r="E114" s="41">
        <v>593845.5</v>
      </c>
      <c r="F114" s="41">
        <v>460255.92</v>
      </c>
      <c r="G114" s="41">
        <v>133589.57999999999</v>
      </c>
      <c r="H114" s="21"/>
      <c r="I114" s="22" t="s">
        <v>288</v>
      </c>
      <c r="J114" s="23" t="s">
        <v>765</v>
      </c>
      <c r="K114" s="22" t="s">
        <v>766</v>
      </c>
      <c r="L114" s="22" t="s">
        <v>13</v>
      </c>
      <c r="M114" s="22" t="s">
        <v>765</v>
      </c>
      <c r="N114" s="22" t="s">
        <v>766</v>
      </c>
      <c r="O114" s="24">
        <v>45606</v>
      </c>
      <c r="P114" s="24">
        <v>46336</v>
      </c>
      <c r="Q114" s="21" t="s">
        <v>652</v>
      </c>
      <c r="R114" s="24">
        <v>45606</v>
      </c>
    </row>
    <row r="115" spans="1:18" x14ac:dyDescent="0.35">
      <c r="A115" s="37">
        <v>11698</v>
      </c>
      <c r="B115" s="21" t="str">
        <f>"PRAXIS SISTEMAS DE INFORMATICA LTDA ME"</f>
        <v>PRAXIS SISTEMAS DE INFORMATICA LTDA ME</v>
      </c>
      <c r="C115" s="31" t="s">
        <v>289</v>
      </c>
      <c r="D115" s="31" t="s">
        <v>770</v>
      </c>
      <c r="E115" s="41">
        <v>29347.94</v>
      </c>
      <c r="F115" s="41">
        <v>18567.54</v>
      </c>
      <c r="G115" s="41">
        <v>10780.4</v>
      </c>
      <c r="H115" s="21"/>
      <c r="I115" s="22" t="s">
        <v>767</v>
      </c>
      <c r="J115" s="23" t="s">
        <v>768</v>
      </c>
      <c r="K115" s="22" t="s">
        <v>769</v>
      </c>
      <c r="L115" s="22" t="s">
        <v>13</v>
      </c>
      <c r="M115" s="22" t="s">
        <v>768</v>
      </c>
      <c r="N115" s="22" t="s">
        <v>769</v>
      </c>
      <c r="O115" s="24" t="s">
        <v>289</v>
      </c>
      <c r="P115" s="24" t="s">
        <v>770</v>
      </c>
      <c r="Q115" s="21" t="s">
        <v>652</v>
      </c>
      <c r="R115" s="24" t="s">
        <v>289</v>
      </c>
    </row>
    <row r="116" spans="1:18" x14ac:dyDescent="0.35">
      <c r="A116" s="37">
        <v>11702</v>
      </c>
      <c r="B116" s="21" t="str">
        <f>"PRODEMGE  CIA DE TECNOL DA INFORMACAO DE MG"</f>
        <v>PRODEMGE  CIA DE TECNOL DA INFORMACAO DE MG</v>
      </c>
      <c r="C116" s="31" t="s">
        <v>292</v>
      </c>
      <c r="D116" s="31" t="s">
        <v>293</v>
      </c>
      <c r="E116" s="41">
        <v>1169864</v>
      </c>
      <c r="F116" s="41">
        <v>40456.92</v>
      </c>
      <c r="G116" s="41">
        <v>1129407.08</v>
      </c>
      <c r="H116" s="21"/>
      <c r="I116" s="22" t="s">
        <v>291</v>
      </c>
      <c r="J116" s="23" t="s">
        <v>771</v>
      </c>
      <c r="K116" s="22" t="s">
        <v>772</v>
      </c>
      <c r="L116" s="22" t="s">
        <v>13</v>
      </c>
      <c r="M116" s="22" t="s">
        <v>771</v>
      </c>
      <c r="N116" s="22" t="s">
        <v>772</v>
      </c>
      <c r="O116" s="24" t="s">
        <v>292</v>
      </c>
      <c r="P116" s="24" t="s">
        <v>293</v>
      </c>
      <c r="Q116" s="21" t="s">
        <v>652</v>
      </c>
      <c r="R116" s="24" t="s">
        <v>292</v>
      </c>
    </row>
    <row r="117" spans="1:18" x14ac:dyDescent="0.35">
      <c r="A117" s="37">
        <v>11704</v>
      </c>
      <c r="B117" s="21" t="str">
        <f>"CLICK TI TECNOLOGIA LTDA"</f>
        <v>CLICK TI TECNOLOGIA LTDA</v>
      </c>
      <c r="C117" s="31" t="s">
        <v>295</v>
      </c>
      <c r="D117" s="31" t="s">
        <v>296</v>
      </c>
      <c r="E117" s="41">
        <v>190000</v>
      </c>
      <c r="F117" s="41">
        <v>190000</v>
      </c>
      <c r="G117" s="41">
        <v>0</v>
      </c>
      <c r="H117" s="21"/>
      <c r="I117" s="22" t="s">
        <v>294</v>
      </c>
      <c r="J117" s="23" t="s">
        <v>294</v>
      </c>
      <c r="K117" s="22" t="s">
        <v>13</v>
      </c>
      <c r="L117" s="22" t="s">
        <v>13</v>
      </c>
      <c r="M117" s="22" t="s">
        <v>294</v>
      </c>
      <c r="N117" s="22" t="s">
        <v>13</v>
      </c>
      <c r="O117" s="24" t="s">
        <v>295</v>
      </c>
      <c r="P117" s="24" t="s">
        <v>296</v>
      </c>
      <c r="Q117" s="21" t="s">
        <v>652</v>
      </c>
      <c r="R117" s="24" t="s">
        <v>295</v>
      </c>
    </row>
    <row r="118" spans="1:18" x14ac:dyDescent="0.35">
      <c r="A118" s="37">
        <v>11706</v>
      </c>
      <c r="B118" s="21" t="str">
        <f>"AGENES S  DA SILVA SUPRIMENTOS DE INFORMATICA   ME"</f>
        <v>AGENES S  DA SILVA SUPRIMENTOS DE INFORMATICA   ME</v>
      </c>
      <c r="C118" s="31">
        <v>45393</v>
      </c>
      <c r="D118" s="31">
        <v>46123</v>
      </c>
      <c r="E118" s="41">
        <v>41239.65</v>
      </c>
      <c r="F118" s="41">
        <v>41239.65</v>
      </c>
      <c r="G118" s="41">
        <v>0</v>
      </c>
      <c r="H118" s="21"/>
      <c r="I118" s="22" t="s">
        <v>297</v>
      </c>
      <c r="J118" s="23" t="s">
        <v>297</v>
      </c>
      <c r="K118" s="22" t="s">
        <v>13</v>
      </c>
      <c r="L118" s="22" t="s">
        <v>13</v>
      </c>
      <c r="M118" s="22" t="s">
        <v>297</v>
      </c>
      <c r="N118" s="22" t="s">
        <v>13</v>
      </c>
      <c r="O118" s="24">
        <v>45393</v>
      </c>
      <c r="P118" s="24">
        <v>46123</v>
      </c>
      <c r="Q118" s="21" t="s">
        <v>652</v>
      </c>
      <c r="R118" s="24">
        <v>45393</v>
      </c>
    </row>
    <row r="119" spans="1:18" x14ac:dyDescent="0.35">
      <c r="A119" s="37">
        <v>11707</v>
      </c>
      <c r="B119" s="21" t="str">
        <f>"OLIVEIRA ANDRADE SERVICOS DE MONITORAMENTO DE INFORMACOES LTDA"</f>
        <v>OLIVEIRA ANDRADE SERVICOS DE MONITORAMENTO DE INFORMACOES LTDA</v>
      </c>
      <c r="C119" s="31">
        <v>45454</v>
      </c>
      <c r="D119" s="31">
        <v>46518</v>
      </c>
      <c r="E119" s="41">
        <v>156739.68</v>
      </c>
      <c r="F119" s="41">
        <v>93898.67</v>
      </c>
      <c r="G119" s="41">
        <v>62841.01</v>
      </c>
      <c r="H119" s="21"/>
      <c r="I119" s="22" t="s">
        <v>298</v>
      </c>
      <c r="J119" s="23" t="s">
        <v>773</v>
      </c>
      <c r="K119" s="22" t="s">
        <v>774</v>
      </c>
      <c r="L119" s="22" t="s">
        <v>13</v>
      </c>
      <c r="M119" s="22" t="s">
        <v>773</v>
      </c>
      <c r="N119" s="22" t="s">
        <v>774</v>
      </c>
      <c r="O119" s="24">
        <v>45454</v>
      </c>
      <c r="P119" s="24">
        <v>46518</v>
      </c>
      <c r="Q119" s="21" t="s">
        <v>652</v>
      </c>
      <c r="R119" s="24">
        <v>45454</v>
      </c>
    </row>
    <row r="120" spans="1:18" x14ac:dyDescent="0.35">
      <c r="A120" s="37">
        <v>11718</v>
      </c>
      <c r="B120" s="21" t="str">
        <f>"CEMIG DISTRIBUICAO S A"</f>
        <v>CEMIG DISTRIBUICAO S A</v>
      </c>
      <c r="C120" s="31">
        <v>45607</v>
      </c>
      <c r="D120" s="31">
        <v>46337</v>
      </c>
      <c r="E120" s="41">
        <v>607500</v>
      </c>
      <c r="F120" s="41">
        <v>421670.82</v>
      </c>
      <c r="G120" s="41">
        <v>185829.18</v>
      </c>
      <c r="H120" s="21"/>
      <c r="I120" s="22" t="s">
        <v>299</v>
      </c>
      <c r="J120" s="23" t="s">
        <v>300</v>
      </c>
      <c r="K120" s="22" t="s">
        <v>301</v>
      </c>
      <c r="L120" s="22" t="s">
        <v>13</v>
      </c>
      <c r="M120" s="22" t="s">
        <v>300</v>
      </c>
      <c r="N120" s="22" t="s">
        <v>301</v>
      </c>
      <c r="O120" s="24">
        <v>45607</v>
      </c>
      <c r="P120" s="24">
        <v>46337</v>
      </c>
      <c r="Q120" s="21" t="s">
        <v>652</v>
      </c>
      <c r="R120" s="24">
        <v>45607</v>
      </c>
    </row>
    <row r="121" spans="1:18" x14ac:dyDescent="0.35">
      <c r="A121" s="37">
        <v>11725</v>
      </c>
      <c r="B121" s="21" t="str">
        <f>"UNIMED SEGURADORA S A"</f>
        <v>UNIMED SEGURADORA S A</v>
      </c>
      <c r="C121" s="31">
        <v>45394</v>
      </c>
      <c r="D121" s="31">
        <v>46388</v>
      </c>
      <c r="E121" s="41">
        <v>23876.16</v>
      </c>
      <c r="F121" s="41">
        <v>18901.96</v>
      </c>
      <c r="G121" s="41">
        <v>4974.2</v>
      </c>
      <c r="H121" s="21"/>
      <c r="I121" s="22" t="s">
        <v>302</v>
      </c>
      <c r="J121" s="23" t="s">
        <v>775</v>
      </c>
      <c r="K121" s="22" t="s">
        <v>776</v>
      </c>
      <c r="L121" s="22" t="s">
        <v>13</v>
      </c>
      <c r="M121" s="22" t="s">
        <v>775</v>
      </c>
      <c r="N121" s="22" t="s">
        <v>776</v>
      </c>
      <c r="O121" s="24">
        <v>45394</v>
      </c>
      <c r="P121" s="24">
        <v>46388</v>
      </c>
      <c r="Q121" s="21" t="s">
        <v>652</v>
      </c>
      <c r="R121" s="24">
        <v>45394</v>
      </c>
    </row>
    <row r="122" spans="1:18" x14ac:dyDescent="0.35">
      <c r="A122" s="37">
        <v>11726</v>
      </c>
      <c r="B122" s="21" t="str">
        <f>"UNIMED SEGURADORA S A"</f>
        <v>UNIMED SEGURADORA S A</v>
      </c>
      <c r="C122" s="31">
        <v>45394</v>
      </c>
      <c r="D122" s="31">
        <v>46399</v>
      </c>
      <c r="E122" s="41">
        <v>581087.98</v>
      </c>
      <c r="F122" s="41">
        <v>478464.47</v>
      </c>
      <c r="G122" s="41">
        <v>102623.51</v>
      </c>
      <c r="H122" s="21"/>
      <c r="I122" s="22" t="s">
        <v>303</v>
      </c>
      <c r="J122" s="23" t="s">
        <v>777</v>
      </c>
      <c r="K122" s="22" t="s">
        <v>778</v>
      </c>
      <c r="L122" s="22" t="s">
        <v>13</v>
      </c>
      <c r="M122" s="22" t="s">
        <v>777</v>
      </c>
      <c r="N122" s="22" t="s">
        <v>778</v>
      </c>
      <c r="O122" s="24">
        <v>45394</v>
      </c>
      <c r="P122" s="24">
        <v>46399</v>
      </c>
      <c r="Q122" s="21" t="s">
        <v>652</v>
      </c>
      <c r="R122" s="24">
        <v>45394</v>
      </c>
    </row>
    <row r="123" spans="1:18" x14ac:dyDescent="0.35">
      <c r="A123" s="37">
        <v>11727</v>
      </c>
      <c r="B123" s="21" t="str">
        <f>"MS SEGURANCA  ELETRONICA LTDA"</f>
        <v>MS SEGURANCA  ELETRONICA LTDA</v>
      </c>
      <c r="C123" s="31">
        <v>45455</v>
      </c>
      <c r="D123" s="31">
        <v>46185</v>
      </c>
      <c r="E123" s="41">
        <v>43968</v>
      </c>
      <c r="F123" s="41">
        <v>36640</v>
      </c>
      <c r="G123" s="41">
        <v>7328</v>
      </c>
      <c r="H123" s="21"/>
      <c r="I123" s="22" t="s">
        <v>304</v>
      </c>
      <c r="J123" s="23" t="s">
        <v>779</v>
      </c>
      <c r="K123" s="22" t="s">
        <v>780</v>
      </c>
      <c r="L123" s="22" t="s">
        <v>13</v>
      </c>
      <c r="M123" s="22" t="s">
        <v>779</v>
      </c>
      <c r="N123" s="22" t="s">
        <v>780</v>
      </c>
      <c r="O123" s="24">
        <v>45455</v>
      </c>
      <c r="P123" s="24">
        <v>46185</v>
      </c>
      <c r="Q123" s="21" t="s">
        <v>652</v>
      </c>
      <c r="R123" s="24">
        <v>45455</v>
      </c>
    </row>
    <row r="124" spans="1:18" x14ac:dyDescent="0.35">
      <c r="A124" s="37">
        <v>11728</v>
      </c>
      <c r="B124" s="21" t="str">
        <f>"SELBETTI GESTAO DE DOCUMENTOS S A"</f>
        <v>SELBETTI GESTAO DE DOCUMENTOS S A</v>
      </c>
      <c r="C124" s="31" t="s">
        <v>306</v>
      </c>
      <c r="D124" s="31" t="s">
        <v>307</v>
      </c>
      <c r="E124" s="41">
        <v>353306.6</v>
      </c>
      <c r="F124" s="41">
        <v>143505.54</v>
      </c>
      <c r="G124" s="41">
        <v>209801.06</v>
      </c>
      <c r="H124" s="21"/>
      <c r="I124" s="22" t="s">
        <v>305</v>
      </c>
      <c r="J124" s="23" t="s">
        <v>781</v>
      </c>
      <c r="K124" s="22" t="s">
        <v>782</v>
      </c>
      <c r="L124" s="22" t="s">
        <v>13</v>
      </c>
      <c r="M124" s="22" t="s">
        <v>781</v>
      </c>
      <c r="N124" s="22" t="s">
        <v>782</v>
      </c>
      <c r="O124" s="24" t="s">
        <v>306</v>
      </c>
      <c r="P124" s="24" t="s">
        <v>307</v>
      </c>
      <c r="Q124" s="21" t="s">
        <v>652</v>
      </c>
      <c r="R124" s="24" t="s">
        <v>306</v>
      </c>
    </row>
    <row r="125" spans="1:18" x14ac:dyDescent="0.35">
      <c r="A125" s="37">
        <v>11732</v>
      </c>
      <c r="B125" s="21" t="str">
        <f>"TELEFONICA BRASIL SA"</f>
        <v>TELEFONICA BRASIL SA</v>
      </c>
      <c r="C125" s="31" t="s">
        <v>309</v>
      </c>
      <c r="D125" s="31" t="s">
        <v>310</v>
      </c>
      <c r="E125" s="41">
        <v>400509.6</v>
      </c>
      <c r="F125" s="41">
        <v>232202.94</v>
      </c>
      <c r="G125" s="41">
        <v>168306.66</v>
      </c>
      <c r="H125" s="21"/>
      <c r="I125" s="22" t="s">
        <v>308</v>
      </c>
      <c r="J125" s="23" t="s">
        <v>783</v>
      </c>
      <c r="K125" s="22" t="s">
        <v>784</v>
      </c>
      <c r="L125" s="22" t="s">
        <v>13</v>
      </c>
      <c r="M125" s="22" t="s">
        <v>783</v>
      </c>
      <c r="N125" s="22" t="s">
        <v>784</v>
      </c>
      <c r="O125" s="24" t="s">
        <v>309</v>
      </c>
      <c r="P125" s="24" t="s">
        <v>310</v>
      </c>
      <c r="Q125" s="21" t="s">
        <v>652</v>
      </c>
      <c r="R125" s="24" t="s">
        <v>309</v>
      </c>
    </row>
    <row r="126" spans="1:18" x14ac:dyDescent="0.35">
      <c r="A126" s="37">
        <v>11744</v>
      </c>
      <c r="B126" s="21" t="str">
        <f>"SECRETARIA DE ESTADO DE AGRICULTURA PECUARIA E ABASTECIMENTO"</f>
        <v>SECRETARIA DE ESTADO DE AGRICULTURA PECUARIA E ABASTECIMENTO</v>
      </c>
      <c r="C126" s="31" t="s">
        <v>314</v>
      </c>
      <c r="D126" s="31" t="s">
        <v>109</v>
      </c>
      <c r="E126" s="41">
        <v>5186330.3</v>
      </c>
      <c r="F126" s="41">
        <v>2512436.2999999998</v>
      </c>
      <c r="G126" s="41">
        <v>2673894</v>
      </c>
      <c r="H126" s="21"/>
      <c r="I126" s="22" t="s">
        <v>311</v>
      </c>
      <c r="J126" s="23" t="s">
        <v>312</v>
      </c>
      <c r="K126" s="22" t="s">
        <v>313</v>
      </c>
      <c r="L126" s="22" t="s">
        <v>13</v>
      </c>
      <c r="M126" s="22" t="s">
        <v>312</v>
      </c>
      <c r="N126" s="22" t="s">
        <v>313</v>
      </c>
      <c r="O126" s="24" t="s">
        <v>314</v>
      </c>
      <c r="P126" s="24" t="s">
        <v>109</v>
      </c>
      <c r="Q126" s="21" t="s">
        <v>652</v>
      </c>
      <c r="R126" s="24" t="s">
        <v>314</v>
      </c>
    </row>
    <row r="127" spans="1:18" x14ac:dyDescent="0.35">
      <c r="A127" s="37">
        <v>11746</v>
      </c>
      <c r="B127" s="21" t="str">
        <f>"DATACOP COMERCIO E SERVICOS DE MICROFILMAGEM LTDA  EPP"</f>
        <v>DATACOP COMERCIO E SERVICOS DE MICROFILMAGEM LTDA  EPP</v>
      </c>
      <c r="C127" s="31">
        <v>45809</v>
      </c>
      <c r="D127" s="31">
        <v>47635</v>
      </c>
      <c r="E127" s="41">
        <v>34000</v>
      </c>
      <c r="F127" s="41">
        <v>7726.73</v>
      </c>
      <c r="G127" s="41">
        <v>26273.27</v>
      </c>
      <c r="H127" s="21"/>
      <c r="I127" s="22" t="s">
        <v>315</v>
      </c>
      <c r="J127" s="23" t="s">
        <v>785</v>
      </c>
      <c r="K127" s="22" t="s">
        <v>786</v>
      </c>
      <c r="L127" s="22" t="s">
        <v>13</v>
      </c>
      <c r="M127" s="22" t="s">
        <v>785</v>
      </c>
      <c r="N127" s="22" t="s">
        <v>786</v>
      </c>
      <c r="O127" s="24">
        <v>45809</v>
      </c>
      <c r="P127" s="24">
        <v>47635</v>
      </c>
      <c r="Q127" s="21" t="s">
        <v>652</v>
      </c>
      <c r="R127" s="24">
        <v>45809</v>
      </c>
    </row>
    <row r="128" spans="1:18" x14ac:dyDescent="0.35">
      <c r="A128" s="37">
        <v>11751</v>
      </c>
      <c r="B128" s="21" t="str">
        <f>"TOTVS SA"</f>
        <v>TOTVS SA</v>
      </c>
      <c r="C128" s="31">
        <v>45717</v>
      </c>
      <c r="D128" s="31">
        <v>47543</v>
      </c>
      <c r="E128" s="41">
        <v>1223406.1299999999</v>
      </c>
      <c r="F128" s="41">
        <v>399592.19</v>
      </c>
      <c r="G128" s="41">
        <v>823813.94</v>
      </c>
      <c r="H128" s="21"/>
      <c r="I128" s="22" t="s">
        <v>316</v>
      </c>
      <c r="J128" s="23" t="s">
        <v>787</v>
      </c>
      <c r="K128" s="22" t="s">
        <v>788</v>
      </c>
      <c r="L128" s="22" t="s">
        <v>13</v>
      </c>
      <c r="M128" s="22" t="s">
        <v>787</v>
      </c>
      <c r="N128" s="22" t="s">
        <v>788</v>
      </c>
      <c r="O128" s="24">
        <v>45717</v>
      </c>
      <c r="P128" s="24">
        <v>47543</v>
      </c>
      <c r="Q128" s="21" t="s">
        <v>652</v>
      </c>
      <c r="R128" s="24">
        <v>45717</v>
      </c>
    </row>
    <row r="129" spans="1:18" x14ac:dyDescent="0.35">
      <c r="A129" s="37">
        <v>11757</v>
      </c>
      <c r="B129" s="21" t="str">
        <f>"LAVANDERIA MORRO CHIC LTDA"</f>
        <v>LAVANDERIA MORRO CHIC LTDA</v>
      </c>
      <c r="C129" s="31" t="s">
        <v>318</v>
      </c>
      <c r="D129" s="31" t="s">
        <v>319</v>
      </c>
      <c r="E129" s="41">
        <v>195744</v>
      </c>
      <c r="F129" s="41">
        <v>55564.6</v>
      </c>
      <c r="G129" s="41">
        <v>140179.4</v>
      </c>
      <c r="H129" s="21"/>
      <c r="I129" s="22" t="s">
        <v>317</v>
      </c>
      <c r="J129" s="23" t="s">
        <v>789</v>
      </c>
      <c r="K129" s="22" t="s">
        <v>790</v>
      </c>
      <c r="L129" s="22" t="s">
        <v>13</v>
      </c>
      <c r="M129" s="22" t="s">
        <v>789</v>
      </c>
      <c r="N129" s="22" t="s">
        <v>790</v>
      </c>
      <c r="O129" s="24" t="s">
        <v>318</v>
      </c>
      <c r="P129" s="24" t="s">
        <v>319</v>
      </c>
      <c r="Q129" s="21" t="s">
        <v>652</v>
      </c>
      <c r="R129" s="24" t="s">
        <v>318</v>
      </c>
    </row>
    <row r="130" spans="1:18" x14ac:dyDescent="0.35">
      <c r="A130" s="37">
        <v>11759</v>
      </c>
      <c r="B130" s="21" t="str">
        <f>"PREFEITURA MUNICIPAL DE CONTAGEM"</f>
        <v>PREFEITURA MUNICIPAL DE CONTAGEM</v>
      </c>
      <c r="C130" s="31">
        <v>45840</v>
      </c>
      <c r="D130" s="31">
        <v>46938</v>
      </c>
      <c r="E130" s="41">
        <v>5122781.78</v>
      </c>
      <c r="F130" s="41">
        <v>2304871.98</v>
      </c>
      <c r="G130" s="41">
        <v>2817909.8</v>
      </c>
      <c r="H130" s="21"/>
      <c r="I130" s="22" t="s">
        <v>791</v>
      </c>
      <c r="J130" s="23" t="s">
        <v>320</v>
      </c>
      <c r="K130" s="22" t="s">
        <v>792</v>
      </c>
      <c r="L130" s="22" t="s">
        <v>13</v>
      </c>
      <c r="M130" s="22" t="s">
        <v>320</v>
      </c>
      <c r="N130" s="22" t="s">
        <v>792</v>
      </c>
      <c r="O130" s="24">
        <v>45840</v>
      </c>
      <c r="P130" s="24">
        <v>46938</v>
      </c>
      <c r="Q130" s="21" t="s">
        <v>652</v>
      </c>
      <c r="R130" s="24">
        <v>45840</v>
      </c>
    </row>
    <row r="131" spans="1:18" x14ac:dyDescent="0.35">
      <c r="A131" s="37">
        <v>11764</v>
      </c>
      <c r="B131" s="21" t="str">
        <f>"INSTITUTO BRASILEIRO DE GOVERNANCA CORPORATIVA"</f>
        <v>INSTITUTO BRASILEIRO DE GOVERNANCA CORPORATIVA</v>
      </c>
      <c r="C131" s="31" t="s">
        <v>322</v>
      </c>
      <c r="D131" s="31" t="s">
        <v>323</v>
      </c>
      <c r="E131" s="41">
        <v>19560</v>
      </c>
      <c r="F131" s="41">
        <v>0</v>
      </c>
      <c r="G131" s="41">
        <v>19560</v>
      </c>
      <c r="H131" s="21"/>
      <c r="I131" s="22" t="s">
        <v>321</v>
      </c>
      <c r="J131" s="23" t="s">
        <v>16</v>
      </c>
      <c r="K131" s="22" t="s">
        <v>321</v>
      </c>
      <c r="L131" s="22" t="s">
        <v>13</v>
      </c>
      <c r="M131" s="22" t="s">
        <v>13</v>
      </c>
      <c r="N131" s="22" t="s">
        <v>321</v>
      </c>
      <c r="O131" s="24" t="s">
        <v>322</v>
      </c>
      <c r="P131" s="24" t="s">
        <v>323</v>
      </c>
      <c r="Q131" s="21" t="s">
        <v>652</v>
      </c>
      <c r="R131" s="24" t="s">
        <v>322</v>
      </c>
    </row>
    <row r="132" spans="1:18" x14ac:dyDescent="0.35">
      <c r="A132" s="37">
        <v>11768</v>
      </c>
      <c r="B132" s="21" t="str">
        <f>"SOCIEDADE MINEIRA DE CULTURA"</f>
        <v>SOCIEDADE MINEIRA DE CULTURA</v>
      </c>
      <c r="C132" s="31" t="s">
        <v>326</v>
      </c>
      <c r="D132" s="31" t="s">
        <v>327</v>
      </c>
      <c r="E132" s="41">
        <v>259047</v>
      </c>
      <c r="F132" s="41">
        <v>259046.99</v>
      </c>
      <c r="G132" s="41">
        <v>0.01</v>
      </c>
      <c r="H132" s="21"/>
      <c r="I132" s="22" t="s">
        <v>324</v>
      </c>
      <c r="J132" s="23" t="s">
        <v>325</v>
      </c>
      <c r="K132" s="22" t="s">
        <v>15</v>
      </c>
      <c r="L132" s="22" t="s">
        <v>13</v>
      </c>
      <c r="M132" s="22" t="s">
        <v>325</v>
      </c>
      <c r="N132" s="22" t="s">
        <v>15</v>
      </c>
      <c r="O132" s="24" t="s">
        <v>326</v>
      </c>
      <c r="P132" s="24" t="s">
        <v>327</v>
      </c>
      <c r="Q132" s="21" t="s">
        <v>652</v>
      </c>
      <c r="R132" s="24" t="s">
        <v>326</v>
      </c>
    </row>
    <row r="133" spans="1:18" x14ac:dyDescent="0.35">
      <c r="A133" s="37">
        <v>11771</v>
      </c>
      <c r="B133" s="21" t="str">
        <f>"GRENA ARQUITETURA E URBANISMO LTDA"</f>
        <v>GRENA ARQUITETURA E URBANISMO LTDA</v>
      </c>
      <c r="C133" s="31" t="s">
        <v>331</v>
      </c>
      <c r="D133" s="31" t="s">
        <v>332</v>
      </c>
      <c r="E133" s="41">
        <v>337500</v>
      </c>
      <c r="F133" s="41">
        <v>209250</v>
      </c>
      <c r="G133" s="41">
        <v>128250</v>
      </c>
      <c r="H133" s="21"/>
      <c r="I133" s="22" t="s">
        <v>328</v>
      </c>
      <c r="J133" s="23" t="s">
        <v>329</v>
      </c>
      <c r="K133" s="22" t="s">
        <v>330</v>
      </c>
      <c r="L133" s="22" t="s">
        <v>13</v>
      </c>
      <c r="M133" s="22" t="s">
        <v>329</v>
      </c>
      <c r="N133" s="22" t="s">
        <v>330</v>
      </c>
      <c r="O133" s="24" t="s">
        <v>331</v>
      </c>
      <c r="P133" s="24" t="s">
        <v>332</v>
      </c>
      <c r="Q133" s="21" t="s">
        <v>652</v>
      </c>
      <c r="R133" s="24" t="s">
        <v>331</v>
      </c>
    </row>
    <row r="134" spans="1:18" x14ac:dyDescent="0.35">
      <c r="A134" s="37">
        <v>11772</v>
      </c>
      <c r="B134" s="21" t="str">
        <f>"DME DISTRIBUICAO SA  DMED"</f>
        <v>DME DISTRIBUICAO SA  DMED</v>
      </c>
      <c r="C134" s="31">
        <v>45994</v>
      </c>
      <c r="D134" s="31">
        <v>46724</v>
      </c>
      <c r="E134" s="41">
        <v>562990.51</v>
      </c>
      <c r="F134" s="41">
        <v>247992.38</v>
      </c>
      <c r="G134" s="41">
        <v>314998.13</v>
      </c>
      <c r="H134" s="21"/>
      <c r="I134" s="22" t="s">
        <v>333</v>
      </c>
      <c r="J134" s="23" t="s">
        <v>793</v>
      </c>
      <c r="K134" s="22" t="s">
        <v>794</v>
      </c>
      <c r="L134" s="22" t="s">
        <v>13</v>
      </c>
      <c r="M134" s="22" t="s">
        <v>793</v>
      </c>
      <c r="N134" s="22" t="s">
        <v>794</v>
      </c>
      <c r="O134" s="24">
        <v>45994</v>
      </c>
      <c r="P134" s="24">
        <v>46724</v>
      </c>
      <c r="Q134" s="21" t="s">
        <v>652</v>
      </c>
      <c r="R134" s="24">
        <v>45994</v>
      </c>
    </row>
    <row r="135" spans="1:18" x14ac:dyDescent="0.35">
      <c r="A135" s="37">
        <v>11773</v>
      </c>
      <c r="B135" s="21" t="str">
        <f>"GRID  ENERGIA SERVICOS E SOLUCOES LTDA"</f>
        <v>GRID  ENERGIA SERVICOS E SOLUCOES LTDA</v>
      </c>
      <c r="C135" s="31">
        <v>45841</v>
      </c>
      <c r="D135" s="31" t="s">
        <v>335</v>
      </c>
      <c r="E135" s="41">
        <v>23747.16</v>
      </c>
      <c r="F135" s="41">
        <v>18675.11</v>
      </c>
      <c r="G135" s="41">
        <v>5072.05</v>
      </c>
      <c r="H135" s="21"/>
      <c r="I135" s="22" t="s">
        <v>334</v>
      </c>
      <c r="J135" s="23" t="s">
        <v>795</v>
      </c>
      <c r="K135" s="22" t="s">
        <v>796</v>
      </c>
      <c r="L135" s="22" t="s">
        <v>13</v>
      </c>
      <c r="M135" s="22" t="s">
        <v>795</v>
      </c>
      <c r="N135" s="22" t="s">
        <v>796</v>
      </c>
      <c r="O135" s="24">
        <v>45841</v>
      </c>
      <c r="P135" s="24" t="s">
        <v>335</v>
      </c>
      <c r="Q135" s="21" t="s">
        <v>652</v>
      </c>
      <c r="R135" s="24">
        <v>45841</v>
      </c>
    </row>
    <row r="136" spans="1:18" x14ac:dyDescent="0.35">
      <c r="A136" s="37">
        <v>11779</v>
      </c>
      <c r="B136" s="21" t="str">
        <f>"SECRETARIA DE ESTADO DE CULTURA"</f>
        <v>SECRETARIA DE ESTADO DE CULTURA</v>
      </c>
      <c r="C136" s="31" t="s">
        <v>339</v>
      </c>
      <c r="D136" s="31" t="s">
        <v>36</v>
      </c>
      <c r="E136" s="41">
        <v>20480000</v>
      </c>
      <c r="F136" s="41">
        <v>18480000</v>
      </c>
      <c r="G136" s="41">
        <v>2000000</v>
      </c>
      <c r="H136" s="21"/>
      <c r="I136" s="22" t="s">
        <v>336</v>
      </c>
      <c r="J136" s="23" t="s">
        <v>337</v>
      </c>
      <c r="K136" s="22" t="s">
        <v>338</v>
      </c>
      <c r="L136" s="22" t="s">
        <v>13</v>
      </c>
      <c r="M136" s="22" t="s">
        <v>337</v>
      </c>
      <c r="N136" s="22" t="s">
        <v>338</v>
      </c>
      <c r="O136" s="24" t="s">
        <v>339</v>
      </c>
      <c r="P136" s="24" t="s">
        <v>36</v>
      </c>
      <c r="Q136" s="21" t="s">
        <v>652</v>
      </c>
      <c r="R136" s="24" t="s">
        <v>339</v>
      </c>
    </row>
    <row r="137" spans="1:18" x14ac:dyDescent="0.35">
      <c r="A137" s="37">
        <v>11787</v>
      </c>
      <c r="B137" s="21" t="str">
        <f>"CHUBB SEGUROS BRASIL S A"</f>
        <v>CHUBB SEGUROS BRASIL S A</v>
      </c>
      <c r="C137" s="31">
        <v>45813</v>
      </c>
      <c r="D137" s="31">
        <v>46543</v>
      </c>
      <c r="E137" s="41">
        <v>74400</v>
      </c>
      <c r="F137" s="41">
        <v>37200</v>
      </c>
      <c r="G137" s="41">
        <v>37200</v>
      </c>
      <c r="H137" s="21"/>
      <c r="I137" s="22" t="s">
        <v>340</v>
      </c>
      <c r="J137" s="23" t="s">
        <v>341</v>
      </c>
      <c r="K137" s="22" t="s">
        <v>341</v>
      </c>
      <c r="L137" s="22" t="s">
        <v>13</v>
      </c>
      <c r="M137" s="22" t="s">
        <v>341</v>
      </c>
      <c r="N137" s="22" t="s">
        <v>341</v>
      </c>
      <c r="O137" s="24">
        <v>45813</v>
      </c>
      <c r="P137" s="24">
        <v>46543</v>
      </c>
      <c r="Q137" s="21" t="s">
        <v>652</v>
      </c>
      <c r="R137" s="24">
        <v>45813</v>
      </c>
    </row>
    <row r="138" spans="1:18" x14ac:dyDescent="0.35">
      <c r="A138" s="37">
        <v>11788</v>
      </c>
      <c r="B138" s="21" t="str">
        <f>"BVIX SEGURADORA SA"</f>
        <v>BVIX SEGURADORA SA</v>
      </c>
      <c r="C138" s="31" t="s">
        <v>343</v>
      </c>
      <c r="D138" s="31" t="s">
        <v>344</v>
      </c>
      <c r="E138" s="41">
        <v>31708.89</v>
      </c>
      <c r="F138" s="41">
        <v>31708.89</v>
      </c>
      <c r="G138" s="41">
        <v>0</v>
      </c>
      <c r="H138" s="21"/>
      <c r="I138" s="22" t="s">
        <v>342</v>
      </c>
      <c r="J138" s="23" t="s">
        <v>342</v>
      </c>
      <c r="K138" s="22" t="s">
        <v>13</v>
      </c>
      <c r="L138" s="22" t="s">
        <v>13</v>
      </c>
      <c r="M138" s="22" t="s">
        <v>342</v>
      </c>
      <c r="N138" s="22" t="s">
        <v>13</v>
      </c>
      <c r="O138" s="24" t="s">
        <v>343</v>
      </c>
      <c r="P138" s="24" t="s">
        <v>344</v>
      </c>
      <c r="Q138" s="21" t="s">
        <v>652</v>
      </c>
      <c r="R138" s="24" t="s">
        <v>343</v>
      </c>
    </row>
    <row r="139" spans="1:18" x14ac:dyDescent="0.35">
      <c r="A139" s="37">
        <v>11789</v>
      </c>
      <c r="B139" s="21" t="str">
        <f>"ASSOCIACAO  DOS AMIGOS DO CENTRO CULTURAL BELO  HORIZONTE"</f>
        <v>ASSOCIACAO  DOS AMIGOS DO CENTRO CULTURAL BELO  HORIZONTE</v>
      </c>
      <c r="C139" s="31" t="s">
        <v>346</v>
      </c>
      <c r="D139" s="31" t="s">
        <v>347</v>
      </c>
      <c r="E139" s="41">
        <v>3489011</v>
      </c>
      <c r="F139" s="41">
        <v>3489011</v>
      </c>
      <c r="G139" s="41">
        <v>0</v>
      </c>
      <c r="H139" s="21"/>
      <c r="I139" s="22" t="s">
        <v>345</v>
      </c>
      <c r="J139" s="23" t="s">
        <v>345</v>
      </c>
      <c r="K139" s="22" t="s">
        <v>13</v>
      </c>
      <c r="L139" s="22" t="s">
        <v>13</v>
      </c>
      <c r="M139" s="22" t="s">
        <v>345</v>
      </c>
      <c r="N139" s="22" t="s">
        <v>13</v>
      </c>
      <c r="O139" s="24" t="s">
        <v>346</v>
      </c>
      <c r="P139" s="24" t="s">
        <v>347</v>
      </c>
      <c r="Q139" s="21" t="s">
        <v>652</v>
      </c>
      <c r="R139" s="24" t="s">
        <v>346</v>
      </c>
    </row>
    <row r="140" spans="1:18" x14ac:dyDescent="0.35">
      <c r="A140" s="37">
        <v>11794</v>
      </c>
      <c r="B140" s="21" t="str">
        <f>"IMTRAFF CONSULTORIA E PROJETOS DE ENGENHARIA"</f>
        <v>IMTRAFF CONSULTORIA E PROJETOS DE ENGENHARIA</v>
      </c>
      <c r="C140" s="31" t="s">
        <v>737</v>
      </c>
      <c r="D140" s="31">
        <v>46274</v>
      </c>
      <c r="E140" s="41">
        <v>1326618.45</v>
      </c>
      <c r="F140" s="41">
        <v>1326618.45</v>
      </c>
      <c r="G140" s="41">
        <v>0</v>
      </c>
      <c r="H140" s="21"/>
      <c r="I140" s="22" t="s">
        <v>797</v>
      </c>
      <c r="J140" s="23" t="s">
        <v>797</v>
      </c>
      <c r="K140" s="22" t="s">
        <v>13</v>
      </c>
      <c r="L140" s="22" t="s">
        <v>13</v>
      </c>
      <c r="M140" s="22" t="s">
        <v>797</v>
      </c>
      <c r="N140" s="22" t="s">
        <v>13</v>
      </c>
      <c r="O140" s="24" t="s">
        <v>737</v>
      </c>
      <c r="P140" s="24">
        <v>46274</v>
      </c>
      <c r="Q140" s="21" t="s">
        <v>652</v>
      </c>
      <c r="R140" s="24" t="s">
        <v>737</v>
      </c>
    </row>
    <row r="141" spans="1:18" x14ac:dyDescent="0.35">
      <c r="A141" s="37">
        <v>11795</v>
      </c>
      <c r="B141" s="21" t="str">
        <f>"GOLDMAN SACHS DO BRASIL BANCO MULTIPLO SA"</f>
        <v>GOLDMAN SACHS DO BRASIL BANCO MULTIPLO SA</v>
      </c>
      <c r="C141" s="31">
        <v>45996</v>
      </c>
      <c r="D141" s="31" t="s">
        <v>36</v>
      </c>
      <c r="E141" s="41">
        <v>23186137.239999998</v>
      </c>
      <c r="F141" s="41">
        <v>7009534.5099999998</v>
      </c>
      <c r="G141" s="41">
        <v>16176602.73</v>
      </c>
      <c r="H141" s="21"/>
      <c r="I141" s="22" t="s">
        <v>348</v>
      </c>
      <c r="J141" s="23" t="s">
        <v>349</v>
      </c>
      <c r="K141" s="22" t="s">
        <v>350</v>
      </c>
      <c r="L141" s="22" t="s">
        <v>13</v>
      </c>
      <c r="M141" s="22" t="s">
        <v>349</v>
      </c>
      <c r="N141" s="22" t="s">
        <v>350</v>
      </c>
      <c r="O141" s="24">
        <v>45996</v>
      </c>
      <c r="P141" s="24" t="s">
        <v>36</v>
      </c>
      <c r="Q141" s="21" t="s">
        <v>652</v>
      </c>
      <c r="R141" s="24">
        <v>45996</v>
      </c>
    </row>
    <row r="142" spans="1:18" x14ac:dyDescent="0.35">
      <c r="A142" s="37">
        <v>11805</v>
      </c>
      <c r="B142" s="21" t="str">
        <f>"TOLENTINO ADVOGADOS"</f>
        <v>TOLENTINO ADVOGADOS</v>
      </c>
      <c r="C142" s="31" t="s">
        <v>352</v>
      </c>
      <c r="D142" s="31" t="s">
        <v>36</v>
      </c>
      <c r="E142" s="41">
        <v>6058351</v>
      </c>
      <c r="F142" s="41">
        <v>5482157.9100000001</v>
      </c>
      <c r="G142" s="41">
        <v>576193.09</v>
      </c>
      <c r="H142" s="21"/>
      <c r="I142" s="22" t="s">
        <v>351</v>
      </c>
      <c r="J142" s="23" t="s">
        <v>798</v>
      </c>
      <c r="K142" s="22" t="s">
        <v>799</v>
      </c>
      <c r="L142" s="22" t="s">
        <v>13</v>
      </c>
      <c r="M142" s="22" t="s">
        <v>798</v>
      </c>
      <c r="N142" s="22" t="s">
        <v>799</v>
      </c>
      <c r="O142" s="24" t="s">
        <v>352</v>
      </c>
      <c r="P142" s="24" t="s">
        <v>36</v>
      </c>
      <c r="Q142" s="21" t="s">
        <v>652</v>
      </c>
      <c r="R142" s="24" t="s">
        <v>352</v>
      </c>
    </row>
    <row r="143" spans="1:18" x14ac:dyDescent="0.35">
      <c r="A143" s="37">
        <v>11806</v>
      </c>
      <c r="B143" s="21" t="str">
        <f>"LICITAPRO CONSULTORIA EM LICITACOES E GESTAO DE CONTRATOS UNIPESSOAL LTDA"</f>
        <v>LICITAPRO CONSULTORIA EM LICITACOES E GESTAO DE CONTRATOS UNIPESSOAL LTDA</v>
      </c>
      <c r="C143" s="31" t="s">
        <v>354</v>
      </c>
      <c r="D143" s="31" t="s">
        <v>355</v>
      </c>
      <c r="E143" s="41">
        <v>470950</v>
      </c>
      <c r="F143" s="41">
        <v>0</v>
      </c>
      <c r="G143" s="41">
        <v>470950</v>
      </c>
      <c r="H143" s="21"/>
      <c r="I143" s="22" t="s">
        <v>353</v>
      </c>
      <c r="J143" s="23" t="s">
        <v>16</v>
      </c>
      <c r="K143" s="22" t="s">
        <v>353</v>
      </c>
      <c r="L143" s="22" t="s">
        <v>13</v>
      </c>
      <c r="M143" s="22" t="s">
        <v>13</v>
      </c>
      <c r="N143" s="22" t="s">
        <v>353</v>
      </c>
      <c r="O143" s="24" t="s">
        <v>354</v>
      </c>
      <c r="P143" s="24" t="s">
        <v>355</v>
      </c>
      <c r="Q143" s="21" t="s">
        <v>652</v>
      </c>
      <c r="R143" s="24" t="s">
        <v>354</v>
      </c>
    </row>
    <row r="144" spans="1:18" x14ac:dyDescent="0.35">
      <c r="A144" s="37">
        <v>11808</v>
      </c>
      <c r="B144" s="21" t="str">
        <f>"CONFEDERACAO BRASILEIRA DO DESPORTO ESCOLAR"</f>
        <v>CONFEDERACAO BRASILEIRA DO DESPORTO ESCOLAR</v>
      </c>
      <c r="C144" s="31" t="s">
        <v>357</v>
      </c>
      <c r="D144" s="31" t="s">
        <v>220</v>
      </c>
      <c r="E144" s="41">
        <v>20000000</v>
      </c>
      <c r="F144" s="41">
        <v>20000000</v>
      </c>
      <c r="G144" s="41">
        <v>0</v>
      </c>
      <c r="H144" s="21"/>
      <c r="I144" s="22" t="s">
        <v>356</v>
      </c>
      <c r="J144" s="23" t="s">
        <v>356</v>
      </c>
      <c r="K144" s="22" t="s">
        <v>13</v>
      </c>
      <c r="L144" s="22" t="s">
        <v>13</v>
      </c>
      <c r="M144" s="22" t="s">
        <v>356</v>
      </c>
      <c r="N144" s="22" t="s">
        <v>13</v>
      </c>
      <c r="O144" s="24" t="s">
        <v>357</v>
      </c>
      <c r="P144" s="24" t="s">
        <v>220</v>
      </c>
      <c r="Q144" s="21" t="s">
        <v>652</v>
      </c>
      <c r="R144" s="24" t="s">
        <v>357</v>
      </c>
    </row>
    <row r="145" spans="1:18" x14ac:dyDescent="0.35">
      <c r="A145" s="37">
        <v>11815</v>
      </c>
      <c r="B145" s="21" t="str">
        <f>"PRICEWATERHOUSECOOPERS AUDITORES INDEPENDENTES"</f>
        <v>PRICEWATERHOUSECOOPERS AUDITORES INDEPENDENTES</v>
      </c>
      <c r="C145" s="31" t="s">
        <v>359</v>
      </c>
      <c r="D145" s="31" t="s">
        <v>360</v>
      </c>
      <c r="E145" s="41">
        <v>4680898.2</v>
      </c>
      <c r="F145" s="41">
        <v>1520421.03</v>
      </c>
      <c r="G145" s="41">
        <v>3160477.17</v>
      </c>
      <c r="H145" s="21"/>
      <c r="I145" s="22" t="s">
        <v>358</v>
      </c>
      <c r="J145" s="23" t="s">
        <v>800</v>
      </c>
      <c r="K145" s="22" t="s">
        <v>801</v>
      </c>
      <c r="L145" s="22" t="s">
        <v>13</v>
      </c>
      <c r="M145" s="22" t="s">
        <v>800</v>
      </c>
      <c r="N145" s="22" t="s">
        <v>801</v>
      </c>
      <c r="O145" s="24" t="s">
        <v>359</v>
      </c>
      <c r="P145" s="24" t="s">
        <v>360</v>
      </c>
      <c r="Q145" s="21" t="s">
        <v>652</v>
      </c>
      <c r="R145" s="24" t="s">
        <v>359</v>
      </c>
    </row>
    <row r="146" spans="1:18" x14ac:dyDescent="0.35">
      <c r="A146" s="37">
        <v>11816</v>
      </c>
      <c r="B146" s="21" t="str">
        <f>"SANITOP COMERCIAL LTDA"</f>
        <v>SANITOP COMERCIAL LTDA</v>
      </c>
      <c r="C146" s="31" t="s">
        <v>364</v>
      </c>
      <c r="D146" s="31" t="s">
        <v>365</v>
      </c>
      <c r="E146" s="41">
        <v>34778.86</v>
      </c>
      <c r="F146" s="41">
        <v>12982.27</v>
      </c>
      <c r="G146" s="41">
        <v>21796.59</v>
      </c>
      <c r="H146" s="21"/>
      <c r="I146" s="22" t="s">
        <v>361</v>
      </c>
      <c r="J146" s="23" t="s">
        <v>362</v>
      </c>
      <c r="K146" s="22" t="s">
        <v>363</v>
      </c>
      <c r="L146" s="22" t="s">
        <v>13</v>
      </c>
      <c r="M146" s="22" t="s">
        <v>362</v>
      </c>
      <c r="N146" s="22" t="s">
        <v>363</v>
      </c>
      <c r="O146" s="24" t="s">
        <v>364</v>
      </c>
      <c r="P146" s="24" t="s">
        <v>365</v>
      </c>
      <c r="Q146" s="21" t="s">
        <v>652</v>
      </c>
      <c r="R146" s="24" t="s">
        <v>364</v>
      </c>
    </row>
    <row r="147" spans="1:18" x14ac:dyDescent="0.35">
      <c r="A147" s="37">
        <v>11817</v>
      </c>
      <c r="B147" s="21" t="str">
        <f>"AUSTRAL SEGURADORA S A"</f>
        <v>AUSTRAL SEGURADORA S A</v>
      </c>
      <c r="C147" s="31" t="s">
        <v>367</v>
      </c>
      <c r="D147" s="31" t="s">
        <v>368</v>
      </c>
      <c r="E147" s="41">
        <v>966000</v>
      </c>
      <c r="F147" s="41">
        <v>644000</v>
      </c>
      <c r="G147" s="41">
        <v>322000</v>
      </c>
      <c r="H147" s="21"/>
      <c r="I147" s="22" t="s">
        <v>366</v>
      </c>
      <c r="J147" s="23" t="s">
        <v>802</v>
      </c>
      <c r="K147" s="22" t="s">
        <v>803</v>
      </c>
      <c r="L147" s="22" t="s">
        <v>13</v>
      </c>
      <c r="M147" s="22" t="s">
        <v>802</v>
      </c>
      <c r="N147" s="22" t="s">
        <v>803</v>
      </c>
      <c r="O147" s="24" t="s">
        <v>367</v>
      </c>
      <c r="P147" s="24" t="s">
        <v>368</v>
      </c>
      <c r="Q147" s="21" t="s">
        <v>652</v>
      </c>
      <c r="R147" s="24" t="s">
        <v>367</v>
      </c>
    </row>
    <row r="148" spans="1:18" x14ac:dyDescent="0.35">
      <c r="A148" s="37">
        <v>11820</v>
      </c>
      <c r="B148" s="21" t="str">
        <f>"ATLAS GOVERNANCE TECNOLOGIA LTDA"</f>
        <v>ATLAS GOVERNANCE TECNOLOGIA LTDA</v>
      </c>
      <c r="C148" s="31" t="s">
        <v>359</v>
      </c>
      <c r="D148" s="31" t="s">
        <v>372</v>
      </c>
      <c r="E148" s="41">
        <v>440030.89</v>
      </c>
      <c r="F148" s="41">
        <v>173757.72</v>
      </c>
      <c r="G148" s="41">
        <v>266273.17</v>
      </c>
      <c r="H148" s="21"/>
      <c r="I148" s="22" t="s">
        <v>369</v>
      </c>
      <c r="J148" s="23" t="s">
        <v>370</v>
      </c>
      <c r="K148" s="22" t="s">
        <v>371</v>
      </c>
      <c r="L148" s="22" t="s">
        <v>13</v>
      </c>
      <c r="M148" s="22" t="s">
        <v>370</v>
      </c>
      <c r="N148" s="22" t="s">
        <v>371</v>
      </c>
      <c r="O148" s="24" t="s">
        <v>359</v>
      </c>
      <c r="P148" s="24" t="s">
        <v>372</v>
      </c>
      <c r="Q148" s="21" t="s">
        <v>652</v>
      </c>
      <c r="R148" s="24" t="s">
        <v>359</v>
      </c>
    </row>
    <row r="149" spans="1:18" x14ac:dyDescent="0.35">
      <c r="A149" s="37">
        <v>11821</v>
      </c>
      <c r="B149" s="21" t="str">
        <f>"90 TECNOLOGIA DA INFORMACAO LTDA"</f>
        <v>90 TECNOLOGIA DA INFORMACAO LTDA</v>
      </c>
      <c r="C149" s="31" t="s">
        <v>374</v>
      </c>
      <c r="D149" s="31" t="s">
        <v>368</v>
      </c>
      <c r="E149" s="41">
        <v>4956</v>
      </c>
      <c r="F149" s="41">
        <v>4956</v>
      </c>
      <c r="G149" s="41">
        <v>0</v>
      </c>
      <c r="H149" s="21"/>
      <c r="I149" s="22" t="s">
        <v>373</v>
      </c>
      <c r="J149" s="23" t="s">
        <v>373</v>
      </c>
      <c r="K149" s="22" t="s">
        <v>13</v>
      </c>
      <c r="L149" s="22" t="s">
        <v>13</v>
      </c>
      <c r="M149" s="22" t="s">
        <v>373</v>
      </c>
      <c r="N149" s="22" t="s">
        <v>13</v>
      </c>
      <c r="O149" s="24" t="s">
        <v>374</v>
      </c>
      <c r="P149" s="24" t="s">
        <v>368</v>
      </c>
      <c r="Q149" s="21" t="s">
        <v>652</v>
      </c>
      <c r="R149" s="24" t="s">
        <v>374</v>
      </c>
    </row>
    <row r="150" spans="1:18" x14ac:dyDescent="0.35">
      <c r="A150" s="37">
        <v>11822</v>
      </c>
      <c r="B150" s="21" t="str">
        <f>"90 TECNOLOGIA DA INFORMACAO LTDA"</f>
        <v>90 TECNOLOGIA DA INFORMACAO LTDA</v>
      </c>
      <c r="C150" s="31" t="s">
        <v>374</v>
      </c>
      <c r="D150" s="31" t="s">
        <v>368</v>
      </c>
      <c r="E150" s="41">
        <v>14250.82</v>
      </c>
      <c r="F150" s="41">
        <v>14250.82</v>
      </c>
      <c r="G150" s="41">
        <v>0</v>
      </c>
      <c r="H150" s="21"/>
      <c r="I150" s="22" t="s">
        <v>375</v>
      </c>
      <c r="J150" s="23" t="s">
        <v>375</v>
      </c>
      <c r="K150" s="22" t="s">
        <v>13</v>
      </c>
      <c r="L150" s="22" t="s">
        <v>13</v>
      </c>
      <c r="M150" s="22" t="s">
        <v>375</v>
      </c>
      <c r="N150" s="22" t="s">
        <v>13</v>
      </c>
      <c r="O150" s="24" t="s">
        <v>374</v>
      </c>
      <c r="P150" s="24" t="s">
        <v>368</v>
      </c>
      <c r="Q150" s="21" t="s">
        <v>652</v>
      </c>
      <c r="R150" s="24" t="s">
        <v>374</v>
      </c>
    </row>
    <row r="151" spans="1:18" x14ac:dyDescent="0.35">
      <c r="A151" s="37">
        <v>11829</v>
      </c>
      <c r="B151" s="21" t="str">
        <f>"FUNDACAO INSTITUTO DE PESQUISAS ECONOMICAS FIPE"</f>
        <v>FUNDACAO INSTITUTO DE PESQUISAS ECONOMICAS FIPE</v>
      </c>
      <c r="C151" s="31">
        <v>45723</v>
      </c>
      <c r="D151" s="31">
        <v>46092</v>
      </c>
      <c r="E151" s="41">
        <v>1677000</v>
      </c>
      <c r="F151" s="41">
        <v>1173900</v>
      </c>
      <c r="G151" s="41">
        <v>503100</v>
      </c>
      <c r="H151" s="21"/>
      <c r="I151" s="22" t="s">
        <v>377</v>
      </c>
      <c r="J151" s="23" t="s">
        <v>378</v>
      </c>
      <c r="K151" s="22" t="s">
        <v>379</v>
      </c>
      <c r="L151" s="22" t="s">
        <v>13</v>
      </c>
      <c r="M151" s="22" t="s">
        <v>378</v>
      </c>
      <c r="N151" s="22" t="s">
        <v>379</v>
      </c>
      <c r="O151" s="24">
        <v>45723</v>
      </c>
      <c r="P151" s="24">
        <v>46092</v>
      </c>
      <c r="Q151" s="21" t="s">
        <v>652</v>
      </c>
      <c r="R151" s="24">
        <v>45723</v>
      </c>
    </row>
    <row r="152" spans="1:18" x14ac:dyDescent="0.35">
      <c r="A152" s="37">
        <v>11835</v>
      </c>
      <c r="B152" s="21" t="str">
        <f>"JOSE ARTHUR ROCHA ARAUJO  ME"</f>
        <v>JOSE ARTHUR ROCHA ARAUJO  ME</v>
      </c>
      <c r="C152" s="31">
        <v>45452</v>
      </c>
      <c r="D152" s="31">
        <v>46182</v>
      </c>
      <c r="E152" s="41">
        <v>752799.7</v>
      </c>
      <c r="F152" s="41">
        <v>0</v>
      </c>
      <c r="G152" s="41">
        <v>752799.7</v>
      </c>
      <c r="H152" s="21"/>
      <c r="I152" s="22" t="s">
        <v>380</v>
      </c>
      <c r="J152" s="23" t="s">
        <v>16</v>
      </c>
      <c r="K152" s="22" t="s">
        <v>380</v>
      </c>
      <c r="L152" s="22" t="s">
        <v>13</v>
      </c>
      <c r="M152" s="22" t="s">
        <v>13</v>
      </c>
      <c r="N152" s="22" t="s">
        <v>380</v>
      </c>
      <c r="O152" s="24">
        <v>45452</v>
      </c>
      <c r="P152" s="24">
        <v>46182</v>
      </c>
      <c r="Q152" s="21" t="s">
        <v>652</v>
      </c>
      <c r="R152" s="24">
        <v>45452</v>
      </c>
    </row>
    <row r="153" spans="1:18" x14ac:dyDescent="0.35">
      <c r="A153" s="37">
        <v>11839</v>
      </c>
      <c r="B153" s="21" t="str">
        <f>"AGROMINAS COMERCIO DE PLANTAS LTDA"</f>
        <v>AGROMINAS COMERCIO DE PLANTAS LTDA</v>
      </c>
      <c r="C153" s="31" t="s">
        <v>382</v>
      </c>
      <c r="D153" s="31" t="s">
        <v>383</v>
      </c>
      <c r="E153" s="41">
        <v>344300</v>
      </c>
      <c r="F153" s="41">
        <v>0</v>
      </c>
      <c r="G153" s="41">
        <v>344300</v>
      </c>
      <c r="H153" s="21"/>
      <c r="I153" s="22" t="s">
        <v>381</v>
      </c>
      <c r="J153" s="23" t="s">
        <v>16</v>
      </c>
      <c r="K153" s="22" t="s">
        <v>381</v>
      </c>
      <c r="L153" s="22" t="s">
        <v>13</v>
      </c>
      <c r="M153" s="22" t="s">
        <v>13</v>
      </c>
      <c r="N153" s="22" t="s">
        <v>381</v>
      </c>
      <c r="O153" s="24" t="s">
        <v>382</v>
      </c>
      <c r="P153" s="24" t="s">
        <v>383</v>
      </c>
      <c r="Q153" s="21" t="s">
        <v>652</v>
      </c>
      <c r="R153" s="24" t="s">
        <v>382</v>
      </c>
    </row>
    <row r="154" spans="1:18" x14ac:dyDescent="0.35">
      <c r="A154" s="37">
        <v>11842</v>
      </c>
      <c r="B154" s="21" t="str">
        <f>"B3 S A   BRASIL BOLSA BALCAO"</f>
        <v>B3 S A   BRASIL BOLSA BALCAO</v>
      </c>
      <c r="C154" s="31">
        <v>45969</v>
      </c>
      <c r="D154" s="31">
        <v>47795</v>
      </c>
      <c r="E154" s="41">
        <v>3299766.59</v>
      </c>
      <c r="F154" s="41">
        <v>124967.7</v>
      </c>
      <c r="G154" s="41">
        <v>3174798.89</v>
      </c>
      <c r="H154" s="21"/>
      <c r="I154" s="22" t="s">
        <v>384</v>
      </c>
      <c r="J154" s="23" t="s">
        <v>385</v>
      </c>
      <c r="K154" s="22" t="s">
        <v>386</v>
      </c>
      <c r="L154" s="22" t="s">
        <v>13</v>
      </c>
      <c r="M154" s="22" t="s">
        <v>385</v>
      </c>
      <c r="N154" s="22" t="s">
        <v>386</v>
      </c>
      <c r="O154" s="24">
        <v>45969</v>
      </c>
      <c r="P154" s="24">
        <v>47795</v>
      </c>
      <c r="Q154" s="21" t="s">
        <v>652</v>
      </c>
      <c r="R154" s="24">
        <v>45969</v>
      </c>
    </row>
    <row r="155" spans="1:18" x14ac:dyDescent="0.35">
      <c r="A155" s="37">
        <v>11853</v>
      </c>
      <c r="B155" s="21" t="str">
        <f>"INTERACT SOLUTIONS LTDA"</f>
        <v>INTERACT SOLUTIONS LTDA</v>
      </c>
      <c r="C155" s="31" t="s">
        <v>388</v>
      </c>
      <c r="D155" s="31" t="s">
        <v>389</v>
      </c>
      <c r="E155" s="41">
        <v>200912.99</v>
      </c>
      <c r="F155" s="41">
        <v>90457.83</v>
      </c>
      <c r="G155" s="41">
        <v>110455.16</v>
      </c>
      <c r="H155" s="21"/>
      <c r="I155" s="22" t="s">
        <v>387</v>
      </c>
      <c r="J155" s="23" t="s">
        <v>804</v>
      </c>
      <c r="K155" s="22" t="s">
        <v>805</v>
      </c>
      <c r="L155" s="22" t="s">
        <v>13</v>
      </c>
      <c r="M155" s="22" t="s">
        <v>804</v>
      </c>
      <c r="N155" s="22" t="s">
        <v>805</v>
      </c>
      <c r="O155" s="24" t="s">
        <v>388</v>
      </c>
      <c r="P155" s="24" t="s">
        <v>389</v>
      </c>
      <c r="Q155" s="21" t="s">
        <v>652</v>
      </c>
      <c r="R155" s="24" t="s">
        <v>388</v>
      </c>
    </row>
    <row r="156" spans="1:18" x14ac:dyDescent="0.35">
      <c r="A156" s="37">
        <v>11855</v>
      </c>
      <c r="B156" s="21" t="str">
        <f>"PRODEMGE  CIA DE TECNOL DA INFORMACAO DE MG"</f>
        <v>PRODEMGE  CIA DE TECNOL DA INFORMACAO DE MG</v>
      </c>
      <c r="C156" s="31" t="s">
        <v>391</v>
      </c>
      <c r="D156" s="31" t="s">
        <v>392</v>
      </c>
      <c r="E156" s="41">
        <v>567889.92000000004</v>
      </c>
      <c r="F156" s="41">
        <v>160816.37</v>
      </c>
      <c r="G156" s="41">
        <v>407073.55</v>
      </c>
      <c r="H156" s="21"/>
      <c r="I156" s="22" t="s">
        <v>390</v>
      </c>
      <c r="J156" s="23" t="s">
        <v>806</v>
      </c>
      <c r="K156" s="22" t="s">
        <v>807</v>
      </c>
      <c r="L156" s="22" t="s">
        <v>13</v>
      </c>
      <c r="M156" s="22" t="s">
        <v>806</v>
      </c>
      <c r="N156" s="22" t="s">
        <v>807</v>
      </c>
      <c r="O156" s="24" t="s">
        <v>391</v>
      </c>
      <c r="P156" s="24" t="s">
        <v>392</v>
      </c>
      <c r="Q156" s="21" t="s">
        <v>652</v>
      </c>
      <c r="R156" s="24" t="s">
        <v>391</v>
      </c>
    </row>
    <row r="157" spans="1:18" x14ac:dyDescent="0.35">
      <c r="A157" s="37">
        <v>11859</v>
      </c>
      <c r="B157" s="21" t="str">
        <f>"INSTITUTO REDE BRASIL DO PACTO GLOBAL"</f>
        <v>INSTITUTO REDE BRASIL DO PACTO GLOBAL</v>
      </c>
      <c r="C157" s="31">
        <v>45994</v>
      </c>
      <c r="D157" s="31">
        <v>46724</v>
      </c>
      <c r="E157" s="41">
        <v>5034.1499999999996</v>
      </c>
      <c r="F157" s="41">
        <v>0</v>
      </c>
      <c r="G157" s="41">
        <v>5034.1499999999996</v>
      </c>
      <c r="H157" s="21"/>
      <c r="I157" s="22" t="s">
        <v>393</v>
      </c>
      <c r="J157" s="23" t="s">
        <v>16</v>
      </c>
      <c r="K157" s="22" t="s">
        <v>393</v>
      </c>
      <c r="L157" s="22" t="s">
        <v>13</v>
      </c>
      <c r="M157" s="22" t="s">
        <v>13</v>
      </c>
      <c r="N157" s="22" t="s">
        <v>393</v>
      </c>
      <c r="O157" s="24">
        <v>45994</v>
      </c>
      <c r="P157" s="24">
        <v>46724</v>
      </c>
      <c r="Q157" s="21" t="s">
        <v>652</v>
      </c>
      <c r="R157" s="24">
        <v>45994</v>
      </c>
    </row>
    <row r="158" spans="1:18" x14ac:dyDescent="0.35">
      <c r="A158" s="37">
        <v>11860</v>
      </c>
      <c r="B158" s="21" t="str">
        <f>"EXTINTORES MINAS GERAIS LTDA EPP"</f>
        <v>EXTINTORES MINAS GERAIS LTDA EPP</v>
      </c>
      <c r="C158" s="31" t="s">
        <v>397</v>
      </c>
      <c r="D158" s="31" t="s">
        <v>398</v>
      </c>
      <c r="E158" s="41">
        <v>87535</v>
      </c>
      <c r="F158" s="41">
        <v>18268.5</v>
      </c>
      <c r="G158" s="41">
        <v>69266.5</v>
      </c>
      <c r="H158" s="21"/>
      <c r="I158" s="22" t="s">
        <v>394</v>
      </c>
      <c r="J158" s="23" t="s">
        <v>395</v>
      </c>
      <c r="K158" s="22" t="s">
        <v>396</v>
      </c>
      <c r="L158" s="22" t="s">
        <v>13</v>
      </c>
      <c r="M158" s="22" t="s">
        <v>395</v>
      </c>
      <c r="N158" s="22" t="s">
        <v>396</v>
      </c>
      <c r="O158" s="24" t="s">
        <v>397</v>
      </c>
      <c r="P158" s="24" t="s">
        <v>398</v>
      </c>
      <c r="Q158" s="21" t="s">
        <v>652</v>
      </c>
      <c r="R158" s="24" t="s">
        <v>397</v>
      </c>
    </row>
    <row r="159" spans="1:18" x14ac:dyDescent="0.35">
      <c r="A159" s="37">
        <v>11861</v>
      </c>
      <c r="B159" s="21" t="str">
        <f>"SOLANO TECNOLOGIA EMPRESARIAL LTDA ME"</f>
        <v>SOLANO TECNOLOGIA EMPRESARIAL LTDA ME</v>
      </c>
      <c r="C159" s="31" t="s">
        <v>401</v>
      </c>
      <c r="D159" s="31" t="s">
        <v>402</v>
      </c>
      <c r="E159" s="41">
        <v>2960</v>
      </c>
      <c r="F159" s="41">
        <v>6200000</v>
      </c>
      <c r="G159" s="41">
        <v>2340</v>
      </c>
      <c r="H159" s="21"/>
      <c r="I159" s="22" t="s">
        <v>399</v>
      </c>
      <c r="J159" s="23">
        <v>6200000</v>
      </c>
      <c r="K159" s="22" t="s">
        <v>400</v>
      </c>
      <c r="L159" s="22" t="s">
        <v>13</v>
      </c>
      <c r="M159" s="22">
        <v>6200000</v>
      </c>
      <c r="N159" s="22" t="s">
        <v>400</v>
      </c>
      <c r="O159" s="24" t="s">
        <v>401</v>
      </c>
      <c r="P159" s="24" t="s">
        <v>402</v>
      </c>
      <c r="Q159" s="21" t="s">
        <v>652</v>
      </c>
      <c r="R159" s="24" t="s">
        <v>401</v>
      </c>
    </row>
    <row r="160" spans="1:18" x14ac:dyDescent="0.35">
      <c r="A160" s="37">
        <v>11862</v>
      </c>
      <c r="B160" s="21" t="str">
        <f>"PIRONTI ADVOGADOS E CONSULTORES ASSOCIADOS"</f>
        <v>PIRONTI ADVOGADOS E CONSULTORES ASSOCIADOS</v>
      </c>
      <c r="C160" s="31" t="s">
        <v>404</v>
      </c>
      <c r="D160" s="31" t="s">
        <v>405</v>
      </c>
      <c r="E160" s="41">
        <v>649800</v>
      </c>
      <c r="F160" s="41">
        <v>649800</v>
      </c>
      <c r="G160" s="41">
        <v>0</v>
      </c>
      <c r="H160" s="21"/>
      <c r="I160" s="22" t="s">
        <v>403</v>
      </c>
      <c r="J160" s="23" t="s">
        <v>403</v>
      </c>
      <c r="K160" s="22" t="s">
        <v>13</v>
      </c>
      <c r="L160" s="22" t="s">
        <v>13</v>
      </c>
      <c r="M160" s="22" t="s">
        <v>403</v>
      </c>
      <c r="N160" s="22" t="s">
        <v>13</v>
      </c>
      <c r="O160" s="24" t="s">
        <v>404</v>
      </c>
      <c r="P160" s="24" t="s">
        <v>405</v>
      </c>
      <c r="Q160" s="21" t="s">
        <v>652</v>
      </c>
      <c r="R160" s="24" t="s">
        <v>404</v>
      </c>
    </row>
    <row r="161" spans="1:18" x14ac:dyDescent="0.35">
      <c r="A161" s="37">
        <v>11863</v>
      </c>
      <c r="B161" s="21" t="str">
        <f>"INSTITUTO  MUNDU"</f>
        <v>INSTITUTO  MUNDU</v>
      </c>
      <c r="C161" s="31" t="s">
        <v>407</v>
      </c>
      <c r="D161" s="31" t="s">
        <v>36</v>
      </c>
      <c r="E161" s="41">
        <v>11821714.99</v>
      </c>
      <c r="F161" s="41">
        <v>11821714.99</v>
      </c>
      <c r="G161" s="41">
        <v>0</v>
      </c>
      <c r="H161" s="21"/>
      <c r="I161" s="22" t="s">
        <v>406</v>
      </c>
      <c r="J161" s="23" t="s">
        <v>406</v>
      </c>
      <c r="K161" s="22" t="s">
        <v>13</v>
      </c>
      <c r="L161" s="22" t="s">
        <v>13</v>
      </c>
      <c r="M161" s="22" t="s">
        <v>406</v>
      </c>
      <c r="N161" s="22" t="s">
        <v>13</v>
      </c>
      <c r="O161" s="24" t="s">
        <v>407</v>
      </c>
      <c r="P161" s="24" t="s">
        <v>36</v>
      </c>
      <c r="Q161" s="21" t="s">
        <v>652</v>
      </c>
      <c r="R161" s="24" t="s">
        <v>407</v>
      </c>
    </row>
    <row r="162" spans="1:18" x14ac:dyDescent="0.35">
      <c r="A162" s="37">
        <v>11868</v>
      </c>
      <c r="B162" s="21" t="str">
        <f>"EMPRESA DE PESQUISA AGROPECUARIA DE MINAS GERAIS"</f>
        <v>EMPRESA DE PESQUISA AGROPECUARIA DE MINAS GERAIS</v>
      </c>
      <c r="C162" s="31">
        <v>45878</v>
      </c>
      <c r="D162" s="31">
        <v>46608</v>
      </c>
      <c r="E162" s="41">
        <v>110677.2</v>
      </c>
      <c r="F162" s="41">
        <v>48990</v>
      </c>
      <c r="G162" s="41">
        <v>61687.199999999997</v>
      </c>
      <c r="H162" s="21"/>
      <c r="I162" s="22" t="s">
        <v>808</v>
      </c>
      <c r="J162" s="23" t="s">
        <v>809</v>
      </c>
      <c r="K162" s="22" t="s">
        <v>810</v>
      </c>
      <c r="L162" s="22" t="s">
        <v>13</v>
      </c>
      <c r="M162" s="22" t="s">
        <v>809</v>
      </c>
      <c r="N162" s="22" t="s">
        <v>810</v>
      </c>
      <c r="O162" s="24">
        <v>45878</v>
      </c>
      <c r="P162" s="24">
        <v>46608</v>
      </c>
      <c r="Q162" s="21" t="s">
        <v>652</v>
      </c>
      <c r="R162" s="24">
        <v>45878</v>
      </c>
    </row>
    <row r="163" spans="1:18" x14ac:dyDescent="0.35">
      <c r="A163" s="37">
        <v>11870</v>
      </c>
      <c r="B163" s="21" t="str">
        <f>"PPN TECNOLOGIA E  INFORMATICA LTDA"</f>
        <v>PPN TECNOLOGIA E  INFORMATICA LTDA</v>
      </c>
      <c r="C163" s="31" t="s">
        <v>411</v>
      </c>
      <c r="D163" s="31" t="s">
        <v>412</v>
      </c>
      <c r="E163" s="41">
        <v>3455983.02</v>
      </c>
      <c r="F163" s="41">
        <v>3394663.02</v>
      </c>
      <c r="G163" s="41">
        <v>61320</v>
      </c>
      <c r="H163" s="21"/>
      <c r="I163" s="22" t="s">
        <v>408</v>
      </c>
      <c r="J163" s="23" t="s">
        <v>409</v>
      </c>
      <c r="K163" s="22" t="s">
        <v>410</v>
      </c>
      <c r="L163" s="22" t="s">
        <v>13</v>
      </c>
      <c r="M163" s="22" t="s">
        <v>409</v>
      </c>
      <c r="N163" s="22" t="s">
        <v>410</v>
      </c>
      <c r="O163" s="24" t="s">
        <v>411</v>
      </c>
      <c r="P163" s="24" t="s">
        <v>412</v>
      </c>
      <c r="Q163" s="21" t="s">
        <v>652</v>
      </c>
      <c r="R163" s="24" t="s">
        <v>411</v>
      </c>
    </row>
    <row r="164" spans="1:18" x14ac:dyDescent="0.35">
      <c r="A164" s="37">
        <v>11873</v>
      </c>
      <c r="B164" s="21" t="str">
        <f>"ALELO INSTITUICAO  DE PAGAMENTO SA"</f>
        <v>ALELO INSTITUICAO  DE PAGAMENTO SA</v>
      </c>
      <c r="C164" s="31">
        <v>45910</v>
      </c>
      <c r="D164" s="31">
        <v>46640</v>
      </c>
      <c r="E164" s="41">
        <v>14227318.199999999</v>
      </c>
      <c r="F164" s="41">
        <v>5018446.5599999996</v>
      </c>
      <c r="G164" s="41">
        <v>9208871.6400000006</v>
      </c>
      <c r="H164" s="21"/>
      <c r="I164" s="22" t="s">
        <v>811</v>
      </c>
      <c r="J164" s="23" t="s">
        <v>812</v>
      </c>
      <c r="K164" s="22" t="s">
        <v>813</v>
      </c>
      <c r="L164" s="22" t="s">
        <v>13</v>
      </c>
      <c r="M164" s="22" t="s">
        <v>812</v>
      </c>
      <c r="N164" s="22" t="s">
        <v>813</v>
      </c>
      <c r="O164" s="24">
        <v>45910</v>
      </c>
      <c r="P164" s="24">
        <v>46640</v>
      </c>
      <c r="Q164" s="21" t="s">
        <v>652</v>
      </c>
      <c r="R164" s="24">
        <v>45910</v>
      </c>
    </row>
    <row r="165" spans="1:18" x14ac:dyDescent="0.35">
      <c r="A165" s="37">
        <v>11875</v>
      </c>
      <c r="B165" s="21" t="str">
        <f>"MINASBEV BEBIDAS DO BRASIL SA"</f>
        <v>MINASBEV BEBIDAS DO BRASIL SA</v>
      </c>
      <c r="C165" s="31" t="s">
        <v>414</v>
      </c>
      <c r="D165" s="31" t="s">
        <v>415</v>
      </c>
      <c r="E165" s="41">
        <v>5150.0789999999997</v>
      </c>
      <c r="F165" s="41">
        <v>0</v>
      </c>
      <c r="G165" s="41">
        <v>5150.0789999999997</v>
      </c>
      <c r="H165" s="21"/>
      <c r="I165" s="22" t="s">
        <v>413</v>
      </c>
      <c r="J165" s="23" t="s">
        <v>16</v>
      </c>
      <c r="K165" s="22" t="s">
        <v>413</v>
      </c>
      <c r="L165" s="22" t="s">
        <v>13</v>
      </c>
      <c r="M165" s="22" t="s">
        <v>13</v>
      </c>
      <c r="N165" s="22" t="s">
        <v>413</v>
      </c>
      <c r="O165" s="24" t="s">
        <v>414</v>
      </c>
      <c r="P165" s="24" t="s">
        <v>415</v>
      </c>
      <c r="Q165" s="21" t="s">
        <v>652</v>
      </c>
      <c r="R165" s="24" t="s">
        <v>414</v>
      </c>
    </row>
    <row r="166" spans="1:18" x14ac:dyDescent="0.35">
      <c r="A166" s="37">
        <v>11879</v>
      </c>
      <c r="B166" s="21" t="str">
        <f>"GUIDO A PALOMBA CLINICA MEDICA LTDA"</f>
        <v>GUIDO A PALOMBA CLINICA MEDICA LTDA</v>
      </c>
      <c r="C166" s="31" t="s">
        <v>417</v>
      </c>
      <c r="D166" s="31" t="s">
        <v>418</v>
      </c>
      <c r="E166" s="41">
        <v>129926.38</v>
      </c>
      <c r="F166" s="41">
        <v>129926.38</v>
      </c>
      <c r="G166" s="41">
        <v>0</v>
      </c>
      <c r="H166" s="21"/>
      <c r="I166" s="22" t="s">
        <v>416</v>
      </c>
      <c r="J166" s="23" t="s">
        <v>416</v>
      </c>
      <c r="K166" s="22" t="s">
        <v>13</v>
      </c>
      <c r="L166" s="22" t="s">
        <v>13</v>
      </c>
      <c r="M166" s="22" t="s">
        <v>416</v>
      </c>
      <c r="N166" s="22" t="s">
        <v>13</v>
      </c>
      <c r="O166" s="24" t="s">
        <v>417</v>
      </c>
      <c r="P166" s="24" t="s">
        <v>418</v>
      </c>
      <c r="Q166" s="21" t="s">
        <v>652</v>
      </c>
      <c r="R166" s="24" t="s">
        <v>417</v>
      </c>
    </row>
    <row r="167" spans="1:18" x14ac:dyDescent="0.35">
      <c r="A167" s="37">
        <v>11881</v>
      </c>
      <c r="B167" s="21" t="str">
        <f>"AACP SERVICO AMBIENTAL EIRELIME"</f>
        <v>AACP SERVICO AMBIENTAL EIRELIME</v>
      </c>
      <c r="C167" s="31" t="s">
        <v>420</v>
      </c>
      <c r="D167" s="31" t="s">
        <v>421</v>
      </c>
      <c r="E167" s="41">
        <v>33300</v>
      </c>
      <c r="F167" s="41">
        <v>12300</v>
      </c>
      <c r="G167" s="41">
        <v>21000</v>
      </c>
      <c r="H167" s="21"/>
      <c r="I167" s="22" t="s">
        <v>419</v>
      </c>
      <c r="J167" s="23" t="s">
        <v>479</v>
      </c>
      <c r="K167" s="22" t="s">
        <v>814</v>
      </c>
      <c r="L167" s="22" t="s">
        <v>13</v>
      </c>
      <c r="M167" s="22" t="s">
        <v>479</v>
      </c>
      <c r="N167" s="22" t="s">
        <v>814</v>
      </c>
      <c r="O167" s="24" t="s">
        <v>420</v>
      </c>
      <c r="P167" s="24" t="s">
        <v>421</v>
      </c>
      <c r="Q167" s="21" t="s">
        <v>652</v>
      </c>
      <c r="R167" s="24" t="s">
        <v>420</v>
      </c>
    </row>
    <row r="168" spans="1:18" x14ac:dyDescent="0.35">
      <c r="A168" s="37">
        <v>11883</v>
      </c>
      <c r="B168" s="21" t="str">
        <f>"FORTE SEGURANCA ELETRONICA LTDA"</f>
        <v>FORTE SEGURANCA ELETRONICA LTDA</v>
      </c>
      <c r="C168" s="31" t="s">
        <v>420</v>
      </c>
      <c r="D168" s="31" t="s">
        <v>423</v>
      </c>
      <c r="E168" s="41">
        <v>9360</v>
      </c>
      <c r="F168" s="41">
        <v>7800</v>
      </c>
      <c r="G168" s="41">
        <v>1560</v>
      </c>
      <c r="H168" s="21"/>
      <c r="I168" s="22" t="s">
        <v>422</v>
      </c>
      <c r="J168" s="23" t="s">
        <v>815</v>
      </c>
      <c r="K168" s="22" t="s">
        <v>816</v>
      </c>
      <c r="L168" s="22" t="s">
        <v>13</v>
      </c>
      <c r="M168" s="22" t="s">
        <v>815</v>
      </c>
      <c r="N168" s="22" t="s">
        <v>816</v>
      </c>
      <c r="O168" s="24" t="s">
        <v>420</v>
      </c>
      <c r="P168" s="24" t="s">
        <v>423</v>
      </c>
      <c r="Q168" s="21" t="s">
        <v>652</v>
      </c>
      <c r="R168" s="24" t="s">
        <v>420</v>
      </c>
    </row>
    <row r="169" spans="1:18" x14ac:dyDescent="0.35">
      <c r="A169" s="37">
        <v>11892</v>
      </c>
      <c r="B169" s="21" t="str">
        <f>"MED LEGAL SOLUCOES MEDICAS LTDA"</f>
        <v>MED LEGAL SOLUCOES MEDICAS LTDA</v>
      </c>
      <c r="C169" s="31">
        <v>45879</v>
      </c>
      <c r="D169" s="31">
        <v>46609</v>
      </c>
      <c r="E169" s="41">
        <v>6393.2</v>
      </c>
      <c r="F169" s="41">
        <v>6393.2</v>
      </c>
      <c r="G169" s="41">
        <v>0</v>
      </c>
      <c r="H169" s="21"/>
      <c r="I169" s="22" t="s">
        <v>424</v>
      </c>
      <c r="J169" s="23" t="s">
        <v>424</v>
      </c>
      <c r="K169" s="22" t="s">
        <v>13</v>
      </c>
      <c r="L169" s="22" t="s">
        <v>13</v>
      </c>
      <c r="M169" s="22" t="s">
        <v>424</v>
      </c>
      <c r="N169" s="22" t="s">
        <v>13</v>
      </c>
      <c r="O169" s="24">
        <v>45879</v>
      </c>
      <c r="P169" s="24">
        <v>46609</v>
      </c>
      <c r="Q169" s="21" t="s">
        <v>652</v>
      </c>
      <c r="R169" s="24">
        <v>45879</v>
      </c>
    </row>
    <row r="170" spans="1:18" x14ac:dyDescent="0.35">
      <c r="A170" s="37">
        <v>11894</v>
      </c>
      <c r="B170" s="21" t="str">
        <f>"MALAB PRODUCOES LTDA"</f>
        <v>MALAB PRODUCOES LTDA</v>
      </c>
      <c r="C170" s="31" t="s">
        <v>426</v>
      </c>
      <c r="D170" s="31" t="s">
        <v>427</v>
      </c>
      <c r="E170" s="41">
        <v>550000</v>
      </c>
      <c r="F170" s="41">
        <v>550000</v>
      </c>
      <c r="G170" s="41">
        <v>0</v>
      </c>
      <c r="H170" s="21"/>
      <c r="I170" s="22" t="s">
        <v>425</v>
      </c>
      <c r="J170" s="23" t="s">
        <v>425</v>
      </c>
      <c r="K170" s="22" t="s">
        <v>13</v>
      </c>
      <c r="L170" s="22" t="s">
        <v>13</v>
      </c>
      <c r="M170" s="22" t="s">
        <v>425</v>
      </c>
      <c r="N170" s="22" t="s">
        <v>13</v>
      </c>
      <c r="O170" s="24" t="s">
        <v>426</v>
      </c>
      <c r="P170" s="24" t="s">
        <v>427</v>
      </c>
      <c r="Q170" s="21" t="s">
        <v>652</v>
      </c>
      <c r="R170" s="24" t="s">
        <v>426</v>
      </c>
    </row>
    <row r="171" spans="1:18" x14ac:dyDescent="0.35">
      <c r="A171" s="37">
        <v>11899</v>
      </c>
      <c r="B171" s="21" t="str">
        <f>"AGRO LIMPEZA E CONSERVACAO LTDA"</f>
        <v>AGRO LIMPEZA E CONSERVACAO LTDA</v>
      </c>
      <c r="C171" s="31" t="s">
        <v>426</v>
      </c>
      <c r="D171" s="31" t="s">
        <v>431</v>
      </c>
      <c r="E171" s="41">
        <v>3709000</v>
      </c>
      <c r="F171" s="41">
        <v>7526.12</v>
      </c>
      <c r="G171" s="41">
        <v>3701473.88</v>
      </c>
      <c r="H171" s="21"/>
      <c r="I171" s="22" t="s">
        <v>430</v>
      </c>
      <c r="J171" s="23" t="s">
        <v>817</v>
      </c>
      <c r="K171" s="22" t="s">
        <v>818</v>
      </c>
      <c r="L171" s="22" t="s">
        <v>13</v>
      </c>
      <c r="M171" s="22" t="s">
        <v>817</v>
      </c>
      <c r="N171" s="22" t="s">
        <v>818</v>
      </c>
      <c r="O171" s="24" t="s">
        <v>426</v>
      </c>
      <c r="P171" s="24" t="s">
        <v>431</v>
      </c>
      <c r="Q171" s="21" t="s">
        <v>652</v>
      </c>
      <c r="R171" s="24" t="s">
        <v>426</v>
      </c>
    </row>
    <row r="172" spans="1:18" x14ac:dyDescent="0.35">
      <c r="A172" s="37">
        <v>11900</v>
      </c>
      <c r="B172" s="21" t="str">
        <f>"IMAGEM GEOSISTEMAS  E  COMERCIO LTDA"</f>
        <v>IMAGEM GEOSISTEMAS  E  COMERCIO LTDA</v>
      </c>
      <c r="C172" s="31">
        <v>45819</v>
      </c>
      <c r="D172" s="31">
        <v>46153</v>
      </c>
      <c r="E172" s="41">
        <v>186341.34</v>
      </c>
      <c r="F172" s="41">
        <v>186341.34</v>
      </c>
      <c r="G172" s="41">
        <v>0</v>
      </c>
      <c r="H172" s="21"/>
      <c r="I172" s="22" t="s">
        <v>432</v>
      </c>
      <c r="J172" s="23" t="s">
        <v>432</v>
      </c>
      <c r="K172" s="22" t="s">
        <v>13</v>
      </c>
      <c r="L172" s="22" t="s">
        <v>13</v>
      </c>
      <c r="M172" s="22" t="s">
        <v>432</v>
      </c>
      <c r="N172" s="22" t="s">
        <v>13</v>
      </c>
      <c r="O172" s="24">
        <v>45819</v>
      </c>
      <c r="P172" s="24">
        <v>46153</v>
      </c>
      <c r="Q172" s="21" t="s">
        <v>652</v>
      </c>
      <c r="R172" s="24">
        <v>45819</v>
      </c>
    </row>
    <row r="173" spans="1:18" x14ac:dyDescent="0.35">
      <c r="A173" s="37">
        <v>11902</v>
      </c>
      <c r="B173" s="21" t="str">
        <f>"ARAXA AMBIENTAL LTDA"</f>
        <v>ARAXA AMBIENTAL LTDA</v>
      </c>
      <c r="C173" s="31" t="s">
        <v>436</v>
      </c>
      <c r="D173" s="31" t="s">
        <v>332</v>
      </c>
      <c r="E173" s="41">
        <v>255780</v>
      </c>
      <c r="F173" s="41">
        <v>97720</v>
      </c>
      <c r="G173" s="41">
        <v>158060</v>
      </c>
      <c r="H173" s="21"/>
      <c r="I173" s="22" t="s">
        <v>433</v>
      </c>
      <c r="J173" s="23" t="s">
        <v>434</v>
      </c>
      <c r="K173" s="22" t="s">
        <v>435</v>
      </c>
      <c r="L173" s="22" t="s">
        <v>13</v>
      </c>
      <c r="M173" s="22" t="s">
        <v>434</v>
      </c>
      <c r="N173" s="22" t="s">
        <v>435</v>
      </c>
      <c r="O173" s="24" t="s">
        <v>436</v>
      </c>
      <c r="P173" s="24" t="s">
        <v>332</v>
      </c>
      <c r="Q173" s="21" t="s">
        <v>652</v>
      </c>
      <c r="R173" s="24" t="s">
        <v>436</v>
      </c>
    </row>
    <row r="174" spans="1:18" x14ac:dyDescent="0.35">
      <c r="A174" s="37">
        <v>11903</v>
      </c>
      <c r="B174" s="21" t="str">
        <f>"SGS GEOSOL LABORATORIOS LTDA"</f>
        <v>SGS GEOSOL LABORATORIOS LTDA</v>
      </c>
      <c r="C174" s="31">
        <v>45819</v>
      </c>
      <c r="D174" s="31">
        <v>46153</v>
      </c>
      <c r="E174" s="41">
        <v>2873959.74</v>
      </c>
      <c r="F174" s="41">
        <v>1687240.11</v>
      </c>
      <c r="G174" s="41">
        <v>1186719.6299999999</v>
      </c>
      <c r="H174" s="21"/>
      <c r="I174" s="22" t="s">
        <v>437</v>
      </c>
      <c r="J174" s="23" t="s">
        <v>819</v>
      </c>
      <c r="K174" s="22" t="s">
        <v>820</v>
      </c>
      <c r="L174" s="22" t="s">
        <v>13</v>
      </c>
      <c r="M174" s="22" t="s">
        <v>819</v>
      </c>
      <c r="N174" s="22" t="s">
        <v>820</v>
      </c>
      <c r="O174" s="24">
        <v>45819</v>
      </c>
      <c r="P174" s="24">
        <v>46153</v>
      </c>
      <c r="Q174" s="21" t="s">
        <v>652</v>
      </c>
      <c r="R174" s="24">
        <v>45819</v>
      </c>
    </row>
    <row r="175" spans="1:18" x14ac:dyDescent="0.35">
      <c r="A175" s="37">
        <v>11904</v>
      </c>
      <c r="B175" s="21" t="str">
        <f>"TOTVS SA"</f>
        <v>TOTVS SA</v>
      </c>
      <c r="C175" s="31" t="s">
        <v>426</v>
      </c>
      <c r="D175" s="31" t="s">
        <v>439</v>
      </c>
      <c r="E175" s="41">
        <v>129798.64</v>
      </c>
      <c r="F175" s="41">
        <v>83698.64</v>
      </c>
      <c r="G175" s="41">
        <v>46100</v>
      </c>
      <c r="H175" s="21"/>
      <c r="I175" s="22" t="s">
        <v>438</v>
      </c>
      <c r="J175" s="23" t="s">
        <v>821</v>
      </c>
      <c r="K175" s="22" t="s">
        <v>822</v>
      </c>
      <c r="L175" s="22" t="s">
        <v>13</v>
      </c>
      <c r="M175" s="22" t="s">
        <v>821</v>
      </c>
      <c r="N175" s="22" t="s">
        <v>822</v>
      </c>
      <c r="O175" s="24" t="s">
        <v>426</v>
      </c>
      <c r="P175" s="24" t="s">
        <v>439</v>
      </c>
      <c r="Q175" s="21" t="s">
        <v>652</v>
      </c>
      <c r="R175" s="24" t="s">
        <v>426</v>
      </c>
    </row>
    <row r="176" spans="1:18" x14ac:dyDescent="0.35">
      <c r="A176" s="37">
        <v>11909</v>
      </c>
      <c r="B176" s="21" t="str">
        <f>"CEMIG DISTRIBUICAO S A"</f>
        <v>CEMIG DISTRIBUICAO S A</v>
      </c>
      <c r="C176" s="31" t="s">
        <v>442</v>
      </c>
      <c r="D176" s="31" t="s">
        <v>443</v>
      </c>
      <c r="E176" s="41">
        <v>337040</v>
      </c>
      <c r="F176" s="41">
        <v>84563.96</v>
      </c>
      <c r="G176" s="41">
        <v>252476.04</v>
      </c>
      <c r="H176" s="21"/>
      <c r="I176" s="22" t="s">
        <v>441</v>
      </c>
      <c r="J176" s="23" t="s">
        <v>823</v>
      </c>
      <c r="K176" s="22" t="s">
        <v>824</v>
      </c>
      <c r="L176" s="22" t="s">
        <v>13</v>
      </c>
      <c r="M176" s="22" t="s">
        <v>823</v>
      </c>
      <c r="N176" s="22" t="s">
        <v>824</v>
      </c>
      <c r="O176" s="24" t="s">
        <v>442</v>
      </c>
      <c r="P176" s="24" t="s">
        <v>443</v>
      </c>
      <c r="Q176" s="21" t="s">
        <v>652</v>
      </c>
      <c r="R176" s="24" t="s">
        <v>442</v>
      </c>
    </row>
    <row r="177" spans="1:18" x14ac:dyDescent="0.35">
      <c r="A177" s="37">
        <v>11910</v>
      </c>
      <c r="B177" s="21" t="str">
        <f>"CEMIG DISTRIBUICAO S A"</f>
        <v>CEMIG DISTRIBUICAO S A</v>
      </c>
      <c r="C177" s="31" t="s">
        <v>442</v>
      </c>
      <c r="D177" s="31" t="s">
        <v>443</v>
      </c>
      <c r="E177" s="41">
        <v>76000</v>
      </c>
      <c r="F177" s="41">
        <v>0</v>
      </c>
      <c r="G177" s="41">
        <v>76000</v>
      </c>
      <c r="H177" s="21"/>
      <c r="I177" s="22" t="s">
        <v>444</v>
      </c>
      <c r="J177" s="23" t="s">
        <v>16</v>
      </c>
      <c r="K177" s="22" t="s">
        <v>444</v>
      </c>
      <c r="L177" s="22" t="s">
        <v>13</v>
      </c>
      <c r="M177" s="22" t="s">
        <v>13</v>
      </c>
      <c r="N177" s="22" t="s">
        <v>444</v>
      </c>
      <c r="O177" s="24" t="s">
        <v>442</v>
      </c>
      <c r="P177" s="24" t="s">
        <v>443</v>
      </c>
      <c r="Q177" s="21" t="s">
        <v>652</v>
      </c>
      <c r="R177" s="24" t="s">
        <v>442</v>
      </c>
    </row>
    <row r="178" spans="1:18" x14ac:dyDescent="0.35">
      <c r="A178" s="37">
        <v>11911</v>
      </c>
      <c r="B178" s="21" t="str">
        <f>"CONTEGO CONSULTORIA LTDA"</f>
        <v>CONTEGO CONSULTORIA LTDA</v>
      </c>
      <c r="C178" s="31">
        <v>45758</v>
      </c>
      <c r="D178" s="31">
        <v>46488</v>
      </c>
      <c r="E178" s="41">
        <v>337658.19</v>
      </c>
      <c r="F178" s="41">
        <v>120750</v>
      </c>
      <c r="G178" s="41">
        <v>216908.19</v>
      </c>
      <c r="H178" s="21"/>
      <c r="I178" s="22" t="s">
        <v>825</v>
      </c>
      <c r="J178" s="23" t="s">
        <v>826</v>
      </c>
      <c r="K178" s="22" t="s">
        <v>827</v>
      </c>
      <c r="L178" s="22" t="s">
        <v>13</v>
      </c>
      <c r="M178" s="22" t="s">
        <v>826</v>
      </c>
      <c r="N178" s="22" t="s">
        <v>827</v>
      </c>
      <c r="O178" s="24">
        <v>45758</v>
      </c>
      <c r="P178" s="24">
        <v>46488</v>
      </c>
      <c r="Q178" s="21" t="s">
        <v>652</v>
      </c>
      <c r="R178" s="24">
        <v>45758</v>
      </c>
    </row>
    <row r="179" spans="1:18" x14ac:dyDescent="0.35">
      <c r="A179" s="37">
        <v>11912</v>
      </c>
      <c r="B179" s="21" t="str">
        <f>"CASA DO TURISMO DE BELO HORIZONTE"</f>
        <v>CASA DO TURISMO DE BELO HORIZONTE</v>
      </c>
      <c r="C179" s="31" t="s">
        <v>448</v>
      </c>
      <c r="D179" s="31" t="s">
        <v>365</v>
      </c>
      <c r="E179" s="41">
        <v>200000</v>
      </c>
      <c r="F179" s="41">
        <v>143130.29999999999</v>
      </c>
      <c r="G179" s="41">
        <v>56869.7</v>
      </c>
      <c r="H179" s="21"/>
      <c r="I179" s="22" t="s">
        <v>445</v>
      </c>
      <c r="J179" s="23" t="s">
        <v>446</v>
      </c>
      <c r="K179" s="22" t="s">
        <v>447</v>
      </c>
      <c r="L179" s="22" t="s">
        <v>13</v>
      </c>
      <c r="M179" s="22" t="s">
        <v>446</v>
      </c>
      <c r="N179" s="22" t="s">
        <v>447</v>
      </c>
      <c r="O179" s="24" t="s">
        <v>448</v>
      </c>
      <c r="P179" s="24" t="s">
        <v>365</v>
      </c>
      <c r="Q179" s="21" t="s">
        <v>652</v>
      </c>
      <c r="R179" s="24" t="s">
        <v>448</v>
      </c>
    </row>
    <row r="180" spans="1:18" x14ac:dyDescent="0.35">
      <c r="A180" s="37">
        <v>11913</v>
      </c>
      <c r="B180" s="21" t="str">
        <f>"LP COMERCIO E DISTRIBUICAO LTDA"</f>
        <v>LP COMERCIO E DISTRIBUICAO LTDA</v>
      </c>
      <c r="C180" s="31">
        <v>45727</v>
      </c>
      <c r="D180" s="31">
        <v>46092</v>
      </c>
      <c r="E180" s="41">
        <v>34472.5</v>
      </c>
      <c r="F180" s="41">
        <v>33309.599999999999</v>
      </c>
      <c r="G180" s="41">
        <v>1162.9000000000001</v>
      </c>
      <c r="H180" s="21"/>
      <c r="I180" s="22" t="s">
        <v>449</v>
      </c>
      <c r="J180" s="23" t="s">
        <v>450</v>
      </c>
      <c r="K180" s="22" t="s">
        <v>451</v>
      </c>
      <c r="L180" s="22" t="s">
        <v>13</v>
      </c>
      <c r="M180" s="22" t="s">
        <v>450</v>
      </c>
      <c r="N180" s="22" t="s">
        <v>451</v>
      </c>
      <c r="O180" s="24">
        <v>45727</v>
      </c>
      <c r="P180" s="24">
        <v>46092</v>
      </c>
      <c r="Q180" s="21" t="s">
        <v>652</v>
      </c>
      <c r="R180" s="24">
        <v>45727</v>
      </c>
    </row>
    <row r="181" spans="1:18" x14ac:dyDescent="0.35">
      <c r="A181" s="37">
        <v>11915</v>
      </c>
      <c r="B181" s="21" t="str">
        <f>"CENTRO DE BIOLOGIA EXPERIMENTAL OCEANUS LTDA"</f>
        <v>CENTRO DE BIOLOGIA EXPERIMENTAL OCEANUS LTDA</v>
      </c>
      <c r="C181" s="31" t="s">
        <v>453</v>
      </c>
      <c r="D181" s="31" t="s">
        <v>454</v>
      </c>
      <c r="E181" s="41">
        <v>216554.8</v>
      </c>
      <c r="F181" s="41">
        <v>85907.62</v>
      </c>
      <c r="G181" s="41">
        <v>130647.18</v>
      </c>
      <c r="H181" s="21"/>
      <c r="I181" s="22" t="s">
        <v>452</v>
      </c>
      <c r="J181" s="23" t="s">
        <v>828</v>
      </c>
      <c r="K181" s="22" t="s">
        <v>829</v>
      </c>
      <c r="L181" s="22" t="s">
        <v>13</v>
      </c>
      <c r="M181" s="22" t="s">
        <v>828</v>
      </c>
      <c r="N181" s="22" t="s">
        <v>829</v>
      </c>
      <c r="O181" s="24" t="s">
        <v>453</v>
      </c>
      <c r="P181" s="24" t="s">
        <v>454</v>
      </c>
      <c r="Q181" s="21" t="s">
        <v>652</v>
      </c>
      <c r="R181" s="24" t="s">
        <v>453</v>
      </c>
    </row>
    <row r="182" spans="1:18" x14ac:dyDescent="0.35">
      <c r="A182" s="37">
        <v>11922</v>
      </c>
      <c r="B182" s="21" t="str">
        <f>"CONSORCIO TPF IBI  ENEJOTA ENEJOTA   SPALDING  SERTORI"</f>
        <v>CONSORCIO TPF IBI  ENEJOTA ENEJOTA   SPALDING  SERTORI</v>
      </c>
      <c r="C182" s="31">
        <v>46002</v>
      </c>
      <c r="D182" s="31">
        <v>46732</v>
      </c>
      <c r="E182" s="41">
        <v>7522594.6699999999</v>
      </c>
      <c r="F182" s="41">
        <v>225677.84</v>
      </c>
      <c r="G182" s="41">
        <v>7296916.8300000001</v>
      </c>
      <c r="H182" s="21"/>
      <c r="I182" s="22" t="s">
        <v>455</v>
      </c>
      <c r="J182" s="23" t="s">
        <v>456</v>
      </c>
      <c r="K182" s="22" t="s">
        <v>457</v>
      </c>
      <c r="L182" s="22" t="s">
        <v>13</v>
      </c>
      <c r="M182" s="22" t="s">
        <v>456</v>
      </c>
      <c r="N182" s="22" t="s">
        <v>457</v>
      </c>
      <c r="O182" s="24">
        <v>46002</v>
      </c>
      <c r="P182" s="24">
        <v>46732</v>
      </c>
      <c r="Q182" s="21" t="s">
        <v>652</v>
      </c>
      <c r="R182" s="24">
        <v>46002</v>
      </c>
    </row>
    <row r="183" spans="1:18" x14ac:dyDescent="0.35">
      <c r="A183" s="37">
        <v>11925</v>
      </c>
      <c r="B183" s="21" t="str">
        <f>"CONSORCIO ENGECORPS MOYSES E PIRES ALVAREZ E MARSAL PLENA"</f>
        <v>CONSORCIO ENGECORPS MOYSES E PIRES ALVAREZ E MARSAL PLENA</v>
      </c>
      <c r="C183" s="31" t="s">
        <v>459</v>
      </c>
      <c r="D183" s="31" t="s">
        <v>117</v>
      </c>
      <c r="E183" s="41">
        <v>6175950</v>
      </c>
      <c r="F183" s="41">
        <v>0</v>
      </c>
      <c r="G183" s="41">
        <v>6175950</v>
      </c>
      <c r="H183" s="21"/>
      <c r="I183" s="22" t="s">
        <v>458</v>
      </c>
      <c r="J183" s="23" t="s">
        <v>16</v>
      </c>
      <c r="K183" s="22" t="s">
        <v>458</v>
      </c>
      <c r="L183" s="22" t="s">
        <v>13</v>
      </c>
      <c r="M183" s="22" t="s">
        <v>13</v>
      </c>
      <c r="N183" s="22" t="s">
        <v>458</v>
      </c>
      <c r="O183" s="24" t="s">
        <v>459</v>
      </c>
      <c r="P183" s="24" t="s">
        <v>117</v>
      </c>
      <c r="Q183" s="21" t="s">
        <v>652</v>
      </c>
      <c r="R183" s="24" t="s">
        <v>459</v>
      </c>
    </row>
    <row r="184" spans="1:18" x14ac:dyDescent="0.35">
      <c r="A184" s="37">
        <v>11928</v>
      </c>
      <c r="B184" s="21" t="str">
        <f>"NECTA INOVA CONTEUDOS ESTRATEGICOS LTDA"</f>
        <v>NECTA INOVA CONTEUDOS ESTRATEGICOS LTDA</v>
      </c>
      <c r="C184" s="31" t="s">
        <v>463</v>
      </c>
      <c r="D184" s="31" t="s">
        <v>464</v>
      </c>
      <c r="E184" s="41">
        <v>300000</v>
      </c>
      <c r="F184" s="41">
        <v>298480</v>
      </c>
      <c r="G184" s="41">
        <v>1520</v>
      </c>
      <c r="H184" s="21"/>
      <c r="I184" s="22" t="s">
        <v>100</v>
      </c>
      <c r="J184" s="23" t="s">
        <v>461</v>
      </c>
      <c r="K184" s="22" t="s">
        <v>462</v>
      </c>
      <c r="L184" s="22" t="s">
        <v>13</v>
      </c>
      <c r="M184" s="22" t="s">
        <v>461</v>
      </c>
      <c r="N184" s="22" t="s">
        <v>462</v>
      </c>
      <c r="O184" s="24" t="s">
        <v>463</v>
      </c>
      <c r="P184" s="24" t="s">
        <v>464</v>
      </c>
      <c r="Q184" s="21" t="s">
        <v>652</v>
      </c>
      <c r="R184" s="24" t="s">
        <v>463</v>
      </c>
    </row>
    <row r="185" spans="1:18" x14ac:dyDescent="0.35">
      <c r="A185" s="37">
        <v>11929</v>
      </c>
      <c r="B185" s="21" t="str">
        <f>"MS TRADUCOES LTDA"</f>
        <v>MS TRADUCOES LTDA</v>
      </c>
      <c r="C185" s="31" t="s">
        <v>466</v>
      </c>
      <c r="D185" s="31" t="s">
        <v>467</v>
      </c>
      <c r="E185" s="41">
        <v>45000</v>
      </c>
      <c r="F185" s="41">
        <v>0</v>
      </c>
      <c r="G185" s="41">
        <v>45000</v>
      </c>
      <c r="H185" s="21"/>
      <c r="I185" s="22" t="s">
        <v>465</v>
      </c>
      <c r="J185" s="23" t="s">
        <v>16</v>
      </c>
      <c r="K185" s="22" t="s">
        <v>465</v>
      </c>
      <c r="L185" s="22" t="s">
        <v>13</v>
      </c>
      <c r="M185" s="22" t="s">
        <v>13</v>
      </c>
      <c r="N185" s="22" t="s">
        <v>465</v>
      </c>
      <c r="O185" s="24" t="s">
        <v>466</v>
      </c>
      <c r="P185" s="24" t="s">
        <v>467</v>
      </c>
      <c r="Q185" s="21" t="s">
        <v>652</v>
      </c>
      <c r="R185" s="24" t="s">
        <v>466</v>
      </c>
    </row>
    <row r="186" spans="1:18" x14ac:dyDescent="0.35">
      <c r="A186" s="37">
        <v>11930</v>
      </c>
      <c r="B186" s="21" t="str">
        <f>"BASECAMP TREINAMENTO LTDA"</f>
        <v>BASECAMP TREINAMENTO LTDA</v>
      </c>
      <c r="C186" s="31" t="s">
        <v>471</v>
      </c>
      <c r="D186" s="31" t="s">
        <v>106</v>
      </c>
      <c r="E186" s="41">
        <v>700000</v>
      </c>
      <c r="F186" s="41">
        <v>525000</v>
      </c>
      <c r="G186" s="41">
        <v>175000</v>
      </c>
      <c r="H186" s="21"/>
      <c r="I186" s="22" t="s">
        <v>468</v>
      </c>
      <c r="J186" s="23" t="s">
        <v>469</v>
      </c>
      <c r="K186" s="22" t="s">
        <v>470</v>
      </c>
      <c r="L186" s="22" t="s">
        <v>13</v>
      </c>
      <c r="M186" s="22" t="s">
        <v>469</v>
      </c>
      <c r="N186" s="22" t="s">
        <v>470</v>
      </c>
      <c r="O186" s="24" t="s">
        <v>471</v>
      </c>
      <c r="P186" s="24" t="s">
        <v>106</v>
      </c>
      <c r="Q186" s="21" t="s">
        <v>652</v>
      </c>
      <c r="R186" s="24" t="s">
        <v>471</v>
      </c>
    </row>
    <row r="187" spans="1:18" x14ac:dyDescent="0.35">
      <c r="A187" s="37">
        <v>11931</v>
      </c>
      <c r="B187" s="21" t="str">
        <f>"SOLANO TECNOLOGIA EMPRESARIAL LTDA ME"</f>
        <v>SOLANO TECNOLOGIA EMPRESARIAL LTDA ME</v>
      </c>
      <c r="C187" s="31" t="s">
        <v>436</v>
      </c>
      <c r="D187" s="31" t="s">
        <v>475</v>
      </c>
      <c r="E187" s="41">
        <v>6500</v>
      </c>
      <c r="F187" s="41">
        <v>4667.5</v>
      </c>
      <c r="G187" s="41">
        <v>1832.5</v>
      </c>
      <c r="H187" s="21"/>
      <c r="I187" s="22" t="s">
        <v>472</v>
      </c>
      <c r="J187" s="23" t="s">
        <v>473</v>
      </c>
      <c r="K187" s="22" t="s">
        <v>474</v>
      </c>
      <c r="L187" s="22" t="s">
        <v>13</v>
      </c>
      <c r="M187" s="22" t="s">
        <v>473</v>
      </c>
      <c r="N187" s="22" t="s">
        <v>474</v>
      </c>
      <c r="O187" s="24" t="s">
        <v>436</v>
      </c>
      <c r="P187" s="24" t="s">
        <v>475</v>
      </c>
      <c r="Q187" s="21" t="s">
        <v>652</v>
      </c>
      <c r="R187" s="24" t="s">
        <v>436</v>
      </c>
    </row>
    <row r="188" spans="1:18" x14ac:dyDescent="0.35">
      <c r="A188" s="37">
        <v>11932</v>
      </c>
      <c r="B188" s="21" t="str">
        <f>"CEMIG DISTRIBUICAO S A"</f>
        <v>CEMIG DISTRIBUICAO S A</v>
      </c>
      <c r="C188" s="31" t="s">
        <v>477</v>
      </c>
      <c r="D188" s="31" t="s">
        <v>478</v>
      </c>
      <c r="E188" s="41">
        <v>2560582.56</v>
      </c>
      <c r="F188" s="41">
        <v>789496.29</v>
      </c>
      <c r="G188" s="41">
        <v>1771086.27</v>
      </c>
      <c r="H188" s="21"/>
      <c r="I188" s="22" t="s">
        <v>476</v>
      </c>
      <c r="J188" s="23" t="s">
        <v>830</v>
      </c>
      <c r="K188" s="22" t="s">
        <v>831</v>
      </c>
      <c r="L188" s="22" t="s">
        <v>13</v>
      </c>
      <c r="M188" s="22" t="s">
        <v>830</v>
      </c>
      <c r="N188" s="22" t="s">
        <v>831</v>
      </c>
      <c r="O188" s="24" t="s">
        <v>477</v>
      </c>
      <c r="P188" s="24" t="s">
        <v>478</v>
      </c>
      <c r="Q188" s="21" t="s">
        <v>652</v>
      </c>
      <c r="R188" s="24" t="s">
        <v>477</v>
      </c>
    </row>
    <row r="189" spans="1:18" x14ac:dyDescent="0.35">
      <c r="A189" s="37">
        <v>11933</v>
      </c>
      <c r="B189" s="21" t="str">
        <f>"AGUA MINERAL NATURAL FONTE E VIDA LTDA"</f>
        <v>AGUA MINERAL NATURAL FONTE E VIDA LTDA</v>
      </c>
      <c r="C189" s="31" t="s">
        <v>482</v>
      </c>
      <c r="D189" s="31" t="s">
        <v>211</v>
      </c>
      <c r="E189" s="41">
        <v>12300</v>
      </c>
      <c r="F189" s="41">
        <v>7483.76</v>
      </c>
      <c r="G189" s="41">
        <v>4816.24</v>
      </c>
      <c r="H189" s="21"/>
      <c r="I189" s="22" t="s">
        <v>479</v>
      </c>
      <c r="J189" s="23" t="s">
        <v>480</v>
      </c>
      <c r="K189" s="22" t="s">
        <v>481</v>
      </c>
      <c r="L189" s="22" t="s">
        <v>13</v>
      </c>
      <c r="M189" s="22" t="s">
        <v>480</v>
      </c>
      <c r="N189" s="22" t="s">
        <v>481</v>
      </c>
      <c r="O189" s="24" t="s">
        <v>482</v>
      </c>
      <c r="P189" s="24" t="s">
        <v>211</v>
      </c>
      <c r="Q189" s="21" t="s">
        <v>652</v>
      </c>
      <c r="R189" s="24" t="s">
        <v>482</v>
      </c>
    </row>
    <row r="190" spans="1:18" x14ac:dyDescent="0.35">
      <c r="A190" s="37">
        <v>11934</v>
      </c>
      <c r="B190" s="21" t="str">
        <f>"SWILE DO BRASIL SA"</f>
        <v>SWILE DO BRASIL SA</v>
      </c>
      <c r="C190" s="31" t="s">
        <v>486</v>
      </c>
      <c r="D190" s="31" t="s">
        <v>487</v>
      </c>
      <c r="E190" s="41">
        <v>227504.96</v>
      </c>
      <c r="F190" s="41">
        <v>218524.57</v>
      </c>
      <c r="G190" s="41">
        <v>8980.39</v>
      </c>
      <c r="H190" s="21"/>
      <c r="I190" s="22" t="s">
        <v>483</v>
      </c>
      <c r="J190" s="23" t="s">
        <v>484</v>
      </c>
      <c r="K190" s="22" t="s">
        <v>485</v>
      </c>
      <c r="L190" s="22" t="s">
        <v>13</v>
      </c>
      <c r="M190" s="22" t="s">
        <v>484</v>
      </c>
      <c r="N190" s="22" t="s">
        <v>485</v>
      </c>
      <c r="O190" s="24" t="s">
        <v>486</v>
      </c>
      <c r="P190" s="24" t="s">
        <v>487</v>
      </c>
      <c r="Q190" s="21" t="s">
        <v>652</v>
      </c>
      <c r="R190" s="24" t="s">
        <v>486</v>
      </c>
    </row>
    <row r="191" spans="1:18" x14ac:dyDescent="0.35">
      <c r="A191" s="37">
        <v>11938</v>
      </c>
      <c r="B191" s="21" t="str">
        <f>"CONSORCIO CEMIG SIM  GD III"</f>
        <v>CONSORCIO CEMIG SIM  GD III</v>
      </c>
      <c r="C191" s="31" t="s">
        <v>440</v>
      </c>
      <c r="D191" s="31" t="s">
        <v>489</v>
      </c>
      <c r="E191" s="41">
        <v>789833.35</v>
      </c>
      <c r="F191" s="41">
        <v>46644.46</v>
      </c>
      <c r="G191" s="41">
        <v>743188.89</v>
      </c>
      <c r="H191" s="21"/>
      <c r="I191" s="22" t="s">
        <v>488</v>
      </c>
      <c r="J191" s="23" t="s">
        <v>832</v>
      </c>
      <c r="K191" s="22" t="s">
        <v>833</v>
      </c>
      <c r="L191" s="22" t="s">
        <v>13</v>
      </c>
      <c r="M191" s="22" t="s">
        <v>832</v>
      </c>
      <c r="N191" s="22" t="s">
        <v>833</v>
      </c>
      <c r="O191" s="24" t="s">
        <v>440</v>
      </c>
      <c r="P191" s="24" t="s">
        <v>489</v>
      </c>
      <c r="Q191" s="21" t="s">
        <v>652</v>
      </c>
      <c r="R191" s="24" t="s">
        <v>440</v>
      </c>
    </row>
    <row r="192" spans="1:18" x14ac:dyDescent="0.35">
      <c r="A192" s="37">
        <v>11939</v>
      </c>
      <c r="B192" s="21" t="str">
        <f>"LIGA SUL MINEIRA DE DESPORTOS"</f>
        <v>LIGA SUL MINEIRA DE DESPORTOS</v>
      </c>
      <c r="C192" s="31" t="s">
        <v>491</v>
      </c>
      <c r="D192" s="31" t="s">
        <v>78</v>
      </c>
      <c r="E192" s="41">
        <v>99920</v>
      </c>
      <c r="F192" s="41">
        <v>99920</v>
      </c>
      <c r="G192" s="41">
        <v>0</v>
      </c>
      <c r="H192" s="21"/>
      <c r="I192" s="22" t="s">
        <v>490</v>
      </c>
      <c r="J192" s="23" t="s">
        <v>490</v>
      </c>
      <c r="K192" s="22" t="s">
        <v>13</v>
      </c>
      <c r="L192" s="22" t="s">
        <v>13</v>
      </c>
      <c r="M192" s="22" t="s">
        <v>490</v>
      </c>
      <c r="N192" s="22" t="s">
        <v>13</v>
      </c>
      <c r="O192" s="24" t="s">
        <v>491</v>
      </c>
      <c r="P192" s="24" t="s">
        <v>78</v>
      </c>
      <c r="Q192" s="21" t="s">
        <v>652</v>
      </c>
      <c r="R192" s="24" t="s">
        <v>491</v>
      </c>
    </row>
    <row r="193" spans="1:18" x14ac:dyDescent="0.35">
      <c r="A193" s="37">
        <v>11942</v>
      </c>
      <c r="B193" s="21" t="str">
        <f>"CERES INTELIGENCIA FINANCEIRA LTDA  EPP"</f>
        <v>CERES INTELIGENCIA FINANCEIRA LTDA  EPP</v>
      </c>
      <c r="C193" s="31">
        <v>46143</v>
      </c>
      <c r="D193" s="31">
        <v>46123</v>
      </c>
      <c r="E193" s="41">
        <v>752000</v>
      </c>
      <c r="F193" s="41">
        <v>300800</v>
      </c>
      <c r="G193" s="41">
        <v>451200</v>
      </c>
      <c r="H193" s="21"/>
      <c r="I193" s="22" t="s">
        <v>494</v>
      </c>
      <c r="J193" s="23" t="s">
        <v>495</v>
      </c>
      <c r="K193" s="22" t="s">
        <v>496</v>
      </c>
      <c r="L193" s="22" t="s">
        <v>13</v>
      </c>
      <c r="M193" s="22" t="s">
        <v>495</v>
      </c>
      <c r="N193" s="22" t="s">
        <v>496</v>
      </c>
      <c r="O193" s="24">
        <v>46143</v>
      </c>
      <c r="P193" s="24">
        <v>46123</v>
      </c>
      <c r="Q193" s="21" t="s">
        <v>652</v>
      </c>
      <c r="R193" s="24">
        <v>46143</v>
      </c>
    </row>
    <row r="194" spans="1:18" x14ac:dyDescent="0.35">
      <c r="A194" s="37">
        <v>11945</v>
      </c>
      <c r="B194" s="21" t="str">
        <f>"ASSOCIACAO ESPORTIVA DOS MUNICIPIOS DO SUL E SUDOESTE DE MINAS GERAIS  ASSESMIG"</f>
        <v>ASSOCIACAO ESPORTIVA DOS MUNICIPIOS DO SUL E SUDOESTE DE MINAS GERAIS  ASSESMIG</v>
      </c>
      <c r="C194" s="31" t="s">
        <v>499</v>
      </c>
      <c r="D194" s="31" t="s">
        <v>498</v>
      </c>
      <c r="E194" s="41">
        <v>100000</v>
      </c>
      <c r="F194" s="41">
        <v>100000</v>
      </c>
      <c r="G194" s="41">
        <v>0</v>
      </c>
      <c r="H194" s="21"/>
      <c r="I194" s="22" t="s">
        <v>428</v>
      </c>
      <c r="J194" s="23" t="s">
        <v>428</v>
      </c>
      <c r="K194" s="22" t="s">
        <v>13</v>
      </c>
      <c r="L194" s="22" t="s">
        <v>13</v>
      </c>
      <c r="M194" s="22" t="s">
        <v>428</v>
      </c>
      <c r="N194" s="22" t="s">
        <v>13</v>
      </c>
      <c r="O194" s="24" t="s">
        <v>499</v>
      </c>
      <c r="P194" s="24" t="s">
        <v>498</v>
      </c>
      <c r="Q194" s="21" t="s">
        <v>652</v>
      </c>
      <c r="R194" s="24" t="s">
        <v>499</v>
      </c>
    </row>
    <row r="195" spans="1:18" x14ac:dyDescent="0.35">
      <c r="A195" s="37">
        <v>11946</v>
      </c>
      <c r="B195" s="21" t="str">
        <f>"CLUBE RECREATIVO JUVENTUDE ALFENAS"</f>
        <v>CLUBE RECREATIVO JUVENTUDE ALFENAS</v>
      </c>
      <c r="C195" s="31" t="s">
        <v>497</v>
      </c>
      <c r="D195" s="31" t="s">
        <v>498</v>
      </c>
      <c r="E195" s="41">
        <v>99677.14</v>
      </c>
      <c r="F195" s="41">
        <v>99677.14</v>
      </c>
      <c r="G195" s="41">
        <v>0</v>
      </c>
      <c r="H195" s="21"/>
      <c r="I195" s="22" t="s">
        <v>500</v>
      </c>
      <c r="J195" s="23" t="s">
        <v>500</v>
      </c>
      <c r="K195" s="22" t="s">
        <v>13</v>
      </c>
      <c r="L195" s="22" t="s">
        <v>13</v>
      </c>
      <c r="M195" s="22" t="s">
        <v>500</v>
      </c>
      <c r="N195" s="22" t="s">
        <v>13</v>
      </c>
      <c r="O195" s="24" t="s">
        <v>497</v>
      </c>
      <c r="P195" s="24" t="s">
        <v>498</v>
      </c>
      <c r="Q195" s="21" t="s">
        <v>652</v>
      </c>
      <c r="R195" s="24" t="s">
        <v>497</v>
      </c>
    </row>
    <row r="196" spans="1:18" x14ac:dyDescent="0.35">
      <c r="A196" s="37">
        <v>11949</v>
      </c>
      <c r="B196" s="21" t="str">
        <f>"MINHA BIBLIOTECA LTDA"</f>
        <v>MINHA BIBLIOTECA LTDA</v>
      </c>
      <c r="C196" s="31" t="s">
        <v>503</v>
      </c>
      <c r="D196" s="31">
        <v>47059</v>
      </c>
      <c r="E196" s="41">
        <v>78960</v>
      </c>
      <c r="F196" s="41">
        <v>39480</v>
      </c>
      <c r="G196" s="41">
        <v>39480</v>
      </c>
      <c r="H196" s="21"/>
      <c r="I196" s="22" t="s">
        <v>501</v>
      </c>
      <c r="J196" s="23" t="s">
        <v>502</v>
      </c>
      <c r="K196" s="22" t="s">
        <v>502</v>
      </c>
      <c r="L196" s="22" t="s">
        <v>13</v>
      </c>
      <c r="M196" s="22" t="s">
        <v>502</v>
      </c>
      <c r="N196" s="22" t="s">
        <v>502</v>
      </c>
      <c r="O196" s="24" t="s">
        <v>503</v>
      </c>
      <c r="P196" s="24">
        <v>47059</v>
      </c>
      <c r="Q196" s="21" t="s">
        <v>652</v>
      </c>
      <c r="R196" s="24" t="s">
        <v>503</v>
      </c>
    </row>
    <row r="197" spans="1:18" x14ac:dyDescent="0.35">
      <c r="A197" s="37">
        <v>11950</v>
      </c>
      <c r="B197" s="21" t="str">
        <f>"PREFEITURA MUNICIPAL DE FORMIGA"</f>
        <v>PREFEITURA MUNICIPAL DE FORMIGA</v>
      </c>
      <c r="C197" s="31" t="s">
        <v>503</v>
      </c>
      <c r="D197" s="31" t="s">
        <v>296</v>
      </c>
      <c r="E197" s="41">
        <v>100000</v>
      </c>
      <c r="F197" s="41">
        <v>100000</v>
      </c>
      <c r="G197" s="41">
        <v>0</v>
      </c>
      <c r="H197" s="21"/>
      <c r="I197" s="22" t="s">
        <v>428</v>
      </c>
      <c r="J197" s="23" t="s">
        <v>428</v>
      </c>
      <c r="K197" s="22" t="s">
        <v>13</v>
      </c>
      <c r="L197" s="22" t="s">
        <v>13</v>
      </c>
      <c r="M197" s="22" t="s">
        <v>428</v>
      </c>
      <c r="N197" s="22" t="s">
        <v>13</v>
      </c>
      <c r="O197" s="24" t="s">
        <v>503</v>
      </c>
      <c r="P197" s="24" t="s">
        <v>296</v>
      </c>
      <c r="Q197" s="21" t="s">
        <v>652</v>
      </c>
      <c r="R197" s="24" t="s">
        <v>503</v>
      </c>
    </row>
    <row r="198" spans="1:18" x14ac:dyDescent="0.35">
      <c r="A198" s="37">
        <v>11951</v>
      </c>
      <c r="B198" s="21" t="str">
        <f>"EDUCARE FORMACAO DESENVOLVIMENTO LTDA"</f>
        <v>EDUCARE FORMACAO DESENVOLVIMENTO LTDA</v>
      </c>
      <c r="C198" s="31" t="s">
        <v>503</v>
      </c>
      <c r="D198" s="31" t="s">
        <v>505</v>
      </c>
      <c r="E198" s="41">
        <v>2585883.88</v>
      </c>
      <c r="F198" s="41">
        <v>2585883.88</v>
      </c>
      <c r="G198" s="41">
        <v>0</v>
      </c>
      <c r="H198" s="21"/>
      <c r="I198" s="22" t="s">
        <v>504</v>
      </c>
      <c r="J198" s="23" t="s">
        <v>504</v>
      </c>
      <c r="K198" s="22" t="s">
        <v>13</v>
      </c>
      <c r="L198" s="22" t="s">
        <v>13</v>
      </c>
      <c r="M198" s="22" t="s">
        <v>504</v>
      </c>
      <c r="N198" s="22" t="s">
        <v>13</v>
      </c>
      <c r="O198" s="24" t="s">
        <v>503</v>
      </c>
      <c r="P198" s="24" t="s">
        <v>505</v>
      </c>
      <c r="Q198" s="21" t="s">
        <v>652</v>
      </c>
      <c r="R198" s="24" t="s">
        <v>503</v>
      </c>
    </row>
    <row r="199" spans="1:18" x14ac:dyDescent="0.35">
      <c r="A199" s="37">
        <v>11952</v>
      </c>
      <c r="B199" s="21" t="str">
        <f>"AMA ORGANIZACAO DA SOCIEDADE CIVIL"</f>
        <v>AMA ORGANIZACAO DA SOCIEDADE CIVIL</v>
      </c>
      <c r="C199" s="31" t="s">
        <v>503</v>
      </c>
      <c r="D199" s="31" t="s">
        <v>220</v>
      </c>
      <c r="E199" s="41">
        <v>3198771.2850000001</v>
      </c>
      <c r="F199" s="41">
        <v>3198771.28</v>
      </c>
      <c r="G199" s="41">
        <v>5.0000000000000001E-3</v>
      </c>
      <c r="H199" s="21"/>
      <c r="I199" s="22" t="s">
        <v>506</v>
      </c>
      <c r="J199" s="23" t="s">
        <v>507</v>
      </c>
      <c r="K199" s="22" t="s">
        <v>508</v>
      </c>
      <c r="L199" s="22" t="s">
        <v>13</v>
      </c>
      <c r="M199" s="22" t="s">
        <v>507</v>
      </c>
      <c r="N199" s="22" t="s">
        <v>508</v>
      </c>
      <c r="O199" s="24" t="s">
        <v>503</v>
      </c>
      <c r="P199" s="24" t="s">
        <v>220</v>
      </c>
      <c r="Q199" s="21" t="s">
        <v>652</v>
      </c>
      <c r="R199" s="24" t="s">
        <v>503</v>
      </c>
    </row>
    <row r="200" spans="1:18" x14ac:dyDescent="0.35">
      <c r="A200" s="37">
        <v>11954</v>
      </c>
      <c r="B200" s="21" t="str">
        <f>"FEDERACAO DAS INSTANCIAS DE GOVERNANCA REGIONAL DE TURISMO DO ESTADO DE MINAS GE"</f>
        <v>FEDERACAO DAS INSTANCIAS DE GOVERNANCA REGIONAL DE TURISMO DO ESTADO DE MINAS GE</v>
      </c>
      <c r="C200" s="31" t="s">
        <v>503</v>
      </c>
      <c r="D200" s="31" t="s">
        <v>220</v>
      </c>
      <c r="E200" s="41">
        <v>5086606.4022000004</v>
      </c>
      <c r="F200" s="41">
        <v>5086471.0999999996</v>
      </c>
      <c r="G200" s="41">
        <v>1353022</v>
      </c>
      <c r="H200" s="21"/>
      <c r="I200" s="22" t="s">
        <v>510</v>
      </c>
      <c r="J200" s="23" t="s">
        <v>511</v>
      </c>
      <c r="K200" s="22">
        <v>1353022</v>
      </c>
      <c r="L200" s="22" t="s">
        <v>13</v>
      </c>
      <c r="M200" s="22" t="s">
        <v>511</v>
      </c>
      <c r="N200" s="22">
        <v>1353022</v>
      </c>
      <c r="O200" s="24" t="s">
        <v>503</v>
      </c>
      <c r="P200" s="24" t="s">
        <v>220</v>
      </c>
      <c r="Q200" s="21" t="s">
        <v>652</v>
      </c>
      <c r="R200" s="24" t="s">
        <v>503</v>
      </c>
    </row>
    <row r="201" spans="1:18" x14ac:dyDescent="0.35">
      <c r="A201" s="37">
        <v>11955</v>
      </c>
      <c r="B201" s="21" t="str">
        <f>"TECNETWORKING SERVICOS E SOLUCOES EM TI LTDA"</f>
        <v>TECNETWORKING SERVICOS E SOLUCOES EM TI LTDA</v>
      </c>
      <c r="C201" s="31" t="s">
        <v>509</v>
      </c>
      <c r="D201" s="31" t="s">
        <v>515</v>
      </c>
      <c r="E201" s="41">
        <v>538000</v>
      </c>
      <c r="F201" s="41">
        <v>486180</v>
      </c>
      <c r="G201" s="41">
        <v>51820</v>
      </c>
      <c r="H201" s="21"/>
      <c r="I201" s="22" t="s">
        <v>512</v>
      </c>
      <c r="J201" s="23" t="s">
        <v>513</v>
      </c>
      <c r="K201" s="22" t="s">
        <v>514</v>
      </c>
      <c r="L201" s="22" t="s">
        <v>13</v>
      </c>
      <c r="M201" s="22" t="s">
        <v>513</v>
      </c>
      <c r="N201" s="22" t="s">
        <v>514</v>
      </c>
      <c r="O201" s="24" t="s">
        <v>509</v>
      </c>
      <c r="P201" s="24" t="s">
        <v>515</v>
      </c>
      <c r="Q201" s="21" t="s">
        <v>652</v>
      </c>
      <c r="R201" s="24" t="s">
        <v>509</v>
      </c>
    </row>
    <row r="202" spans="1:18" x14ac:dyDescent="0.35">
      <c r="A202" s="37">
        <v>11956</v>
      </c>
      <c r="B202" s="21" t="str">
        <f>"GRID  ENERGIA SERVICOS E SOLUCOES LTDA"</f>
        <v>GRID  ENERGIA SERVICOS E SOLUCOES LTDA</v>
      </c>
      <c r="C202" s="31">
        <v>46120</v>
      </c>
      <c r="D202" s="31">
        <v>46485</v>
      </c>
      <c r="E202" s="41">
        <v>4800</v>
      </c>
      <c r="F202" s="41">
        <v>0</v>
      </c>
      <c r="G202" s="41">
        <v>4800</v>
      </c>
      <c r="H202" s="21"/>
      <c r="I202" s="22" t="s">
        <v>834</v>
      </c>
      <c r="J202" s="23" t="s">
        <v>16</v>
      </c>
      <c r="K202" s="22" t="s">
        <v>834</v>
      </c>
      <c r="L202" s="22" t="s">
        <v>13</v>
      </c>
      <c r="M202" s="22" t="s">
        <v>13</v>
      </c>
      <c r="N202" s="22" t="s">
        <v>834</v>
      </c>
      <c r="O202" s="24">
        <v>46120</v>
      </c>
      <c r="P202" s="24">
        <v>46485</v>
      </c>
      <c r="Q202" s="21" t="s">
        <v>652</v>
      </c>
      <c r="R202" s="24">
        <v>46120</v>
      </c>
    </row>
    <row r="203" spans="1:18" x14ac:dyDescent="0.35">
      <c r="A203" s="37">
        <v>11957</v>
      </c>
      <c r="B203" s="21" t="str">
        <f>"DRIVE A INFORMATICA LTDA"</f>
        <v>DRIVE A INFORMATICA LTDA</v>
      </c>
      <c r="C203" s="31">
        <v>46143</v>
      </c>
      <c r="D203" s="31">
        <v>46508</v>
      </c>
      <c r="E203" s="41">
        <v>2070000</v>
      </c>
      <c r="F203" s="41">
        <v>0</v>
      </c>
      <c r="G203" s="41">
        <v>2070000</v>
      </c>
      <c r="H203" s="21"/>
      <c r="I203" s="22" t="s">
        <v>516</v>
      </c>
      <c r="J203" s="23" t="s">
        <v>16</v>
      </c>
      <c r="K203" s="22" t="s">
        <v>516</v>
      </c>
      <c r="L203" s="22" t="s">
        <v>13</v>
      </c>
      <c r="M203" s="22" t="s">
        <v>13</v>
      </c>
      <c r="N203" s="22" t="s">
        <v>516</v>
      </c>
      <c r="O203" s="24">
        <v>46143</v>
      </c>
      <c r="P203" s="24">
        <v>46508</v>
      </c>
      <c r="Q203" s="21" t="s">
        <v>652</v>
      </c>
      <c r="R203" s="24">
        <v>46143</v>
      </c>
    </row>
    <row r="204" spans="1:18" x14ac:dyDescent="0.35">
      <c r="A204" s="37">
        <v>11958</v>
      </c>
      <c r="B204" s="21" t="str">
        <f>"INSTITUTO CULTURAL FILARMONICA"</f>
        <v>INSTITUTO CULTURAL FILARMONICA</v>
      </c>
      <c r="C204" s="31" t="s">
        <v>509</v>
      </c>
      <c r="D204" s="31" t="s">
        <v>517</v>
      </c>
      <c r="E204" s="41">
        <v>700000</v>
      </c>
      <c r="F204" s="41">
        <v>700000</v>
      </c>
      <c r="G204" s="41">
        <v>0</v>
      </c>
      <c r="H204" s="21"/>
      <c r="I204" s="22" t="s">
        <v>468</v>
      </c>
      <c r="J204" s="23" t="s">
        <v>468</v>
      </c>
      <c r="K204" s="22" t="s">
        <v>13</v>
      </c>
      <c r="L204" s="22" t="s">
        <v>13</v>
      </c>
      <c r="M204" s="22" t="s">
        <v>468</v>
      </c>
      <c r="N204" s="22" t="s">
        <v>13</v>
      </c>
      <c r="O204" s="24" t="s">
        <v>509</v>
      </c>
      <c r="P204" s="24" t="s">
        <v>517</v>
      </c>
      <c r="Q204" s="21" t="s">
        <v>652</v>
      </c>
      <c r="R204" s="24" t="s">
        <v>509</v>
      </c>
    </row>
    <row r="205" spans="1:18" x14ac:dyDescent="0.35">
      <c r="A205" s="37">
        <v>11965</v>
      </c>
      <c r="B205" s="21" t="str">
        <f>"INTERNATIONAL FINANCE CORPORATION"</f>
        <v>INTERNATIONAL FINANCE CORPORATION</v>
      </c>
      <c r="C205" s="31">
        <v>46083</v>
      </c>
      <c r="D205" s="31">
        <v>47179</v>
      </c>
      <c r="E205" s="41">
        <v>29396830.030000001</v>
      </c>
      <c r="F205" s="41">
        <v>2057778.13</v>
      </c>
      <c r="G205" s="41">
        <v>27339051.899999999</v>
      </c>
      <c r="H205" s="21"/>
      <c r="I205" s="22" t="s">
        <v>518</v>
      </c>
      <c r="J205" s="23" t="s">
        <v>519</v>
      </c>
      <c r="K205" s="22" t="s">
        <v>520</v>
      </c>
      <c r="L205" s="22" t="s">
        <v>13</v>
      </c>
      <c r="M205" s="22" t="s">
        <v>519</v>
      </c>
      <c r="N205" s="22" t="s">
        <v>520</v>
      </c>
      <c r="O205" s="24">
        <v>46083</v>
      </c>
      <c r="P205" s="24">
        <v>47179</v>
      </c>
      <c r="Q205" s="21" t="s">
        <v>652</v>
      </c>
      <c r="R205" s="24">
        <v>46083</v>
      </c>
    </row>
    <row r="206" spans="1:18" x14ac:dyDescent="0.35">
      <c r="A206" s="37">
        <v>11972</v>
      </c>
      <c r="B206" s="21" t="str">
        <f>"ABC EMPREENDIMENTOS SEGURANCA E INCENDIO LTDA"</f>
        <v>ABC EMPREENDIMENTOS SEGURANCA E INCENDIO LTDA</v>
      </c>
      <c r="C206" s="31" t="s">
        <v>522</v>
      </c>
      <c r="D206" s="31" t="s">
        <v>319</v>
      </c>
      <c r="E206" s="41">
        <v>2386283.6</v>
      </c>
      <c r="F206" s="41">
        <v>0</v>
      </c>
      <c r="G206" s="41">
        <v>2386283.6</v>
      </c>
      <c r="H206" s="21"/>
      <c r="I206" s="22" t="s">
        <v>521</v>
      </c>
      <c r="J206" s="23" t="s">
        <v>16</v>
      </c>
      <c r="K206" s="22" t="s">
        <v>521</v>
      </c>
      <c r="L206" s="22" t="s">
        <v>13</v>
      </c>
      <c r="M206" s="22" t="s">
        <v>13</v>
      </c>
      <c r="N206" s="22" t="s">
        <v>521</v>
      </c>
      <c r="O206" s="24" t="s">
        <v>522</v>
      </c>
      <c r="P206" s="24" t="s">
        <v>319</v>
      </c>
      <c r="Q206" s="21" t="s">
        <v>652</v>
      </c>
      <c r="R206" s="24" t="s">
        <v>522</v>
      </c>
    </row>
    <row r="207" spans="1:18" x14ac:dyDescent="0.35">
      <c r="A207" s="37">
        <v>11974</v>
      </c>
      <c r="B207" s="21" t="str">
        <f>"MARCIO FERREIRA E CIA LTDA"</f>
        <v>MARCIO FERREIRA E CIA LTDA</v>
      </c>
      <c r="C207" s="31">
        <v>46083</v>
      </c>
      <c r="D207" s="31">
        <v>46448</v>
      </c>
      <c r="E207" s="41">
        <v>6930</v>
      </c>
      <c r="F207" s="41">
        <v>3582</v>
      </c>
      <c r="G207" s="41">
        <v>3348</v>
      </c>
      <c r="H207" s="21"/>
      <c r="I207" s="22" t="s">
        <v>524</v>
      </c>
      <c r="J207" s="23" t="s">
        <v>835</v>
      </c>
      <c r="K207" s="22" t="s">
        <v>836</v>
      </c>
      <c r="L207" s="22" t="s">
        <v>13</v>
      </c>
      <c r="M207" s="22" t="s">
        <v>835</v>
      </c>
      <c r="N207" s="22" t="s">
        <v>836</v>
      </c>
      <c r="O207" s="24">
        <v>46083</v>
      </c>
      <c r="P207" s="24">
        <v>46448</v>
      </c>
      <c r="Q207" s="21" t="s">
        <v>652</v>
      </c>
      <c r="R207" s="24">
        <v>46083</v>
      </c>
    </row>
    <row r="208" spans="1:18" x14ac:dyDescent="0.35">
      <c r="A208" s="37">
        <v>11976</v>
      </c>
      <c r="B208" s="21" t="str">
        <f>"CETEST MINAS ENGENHARIA E SERVICOS S A"</f>
        <v>CETEST MINAS ENGENHARIA E SERVICOS S A</v>
      </c>
      <c r="C208" s="31">
        <v>46083</v>
      </c>
      <c r="D208" s="31" t="s">
        <v>281</v>
      </c>
      <c r="E208" s="41">
        <v>1404180.66</v>
      </c>
      <c r="F208" s="41">
        <v>1391181.53</v>
      </c>
      <c r="G208" s="41">
        <v>12999.13</v>
      </c>
      <c r="H208" s="21"/>
      <c r="I208" s="22" t="s">
        <v>525</v>
      </c>
      <c r="J208" s="23" t="s">
        <v>837</v>
      </c>
      <c r="K208" s="22" t="s">
        <v>838</v>
      </c>
      <c r="L208" s="22" t="s">
        <v>13</v>
      </c>
      <c r="M208" s="22" t="s">
        <v>837</v>
      </c>
      <c r="N208" s="22" t="s">
        <v>838</v>
      </c>
      <c r="O208" s="24">
        <v>46083</v>
      </c>
      <c r="P208" s="24" t="s">
        <v>281</v>
      </c>
      <c r="Q208" s="21" t="s">
        <v>652</v>
      </c>
      <c r="R208" s="24">
        <v>46083</v>
      </c>
    </row>
    <row r="209" spans="1:18" x14ac:dyDescent="0.35">
      <c r="A209" s="37">
        <v>11977</v>
      </c>
      <c r="B209" s="21" t="str">
        <f>"CONSORCIO OTIMO DE BILHETAGEM ELETRONICA"</f>
        <v>CONSORCIO OTIMO DE BILHETAGEM ELETRONICA</v>
      </c>
      <c r="C209" s="31" t="s">
        <v>527</v>
      </c>
      <c r="D209" s="31" t="s">
        <v>528</v>
      </c>
      <c r="E209" s="41">
        <v>1239.32</v>
      </c>
      <c r="F209" s="41">
        <v>609800</v>
      </c>
      <c r="G209" s="41">
        <v>1178.3399999999999</v>
      </c>
      <c r="H209" s="21"/>
      <c r="I209" s="22" t="s">
        <v>526</v>
      </c>
      <c r="J209" s="23">
        <v>609800</v>
      </c>
      <c r="K209" s="22" t="s">
        <v>839</v>
      </c>
      <c r="L209" s="22" t="s">
        <v>13</v>
      </c>
      <c r="M209" s="22">
        <v>609800</v>
      </c>
      <c r="N209" s="22" t="s">
        <v>839</v>
      </c>
      <c r="O209" s="24" t="s">
        <v>527</v>
      </c>
      <c r="P209" s="24" t="s">
        <v>528</v>
      </c>
      <c r="Q209" s="21" t="s">
        <v>652</v>
      </c>
      <c r="R209" s="24" t="s">
        <v>527</v>
      </c>
    </row>
    <row r="210" spans="1:18" x14ac:dyDescent="0.35">
      <c r="A210" s="37">
        <v>11978</v>
      </c>
      <c r="B210" s="21" t="str">
        <f>"FEDERACAO DAS INDUSTRIAS DO ESTADO DE MINAS GERAIS"</f>
        <v>FEDERACAO DAS INDUSTRIAS DO ESTADO DE MINAS GERAIS</v>
      </c>
      <c r="C210" s="31">
        <v>46145</v>
      </c>
      <c r="D210" s="31">
        <v>46849</v>
      </c>
      <c r="E210" s="41">
        <v>39600000</v>
      </c>
      <c r="F210" s="41">
        <v>0</v>
      </c>
      <c r="G210" s="41">
        <v>39600000</v>
      </c>
      <c r="H210" s="21"/>
      <c r="I210" s="22" t="s">
        <v>529</v>
      </c>
      <c r="J210" s="23" t="s">
        <v>16</v>
      </c>
      <c r="K210" s="22" t="s">
        <v>529</v>
      </c>
      <c r="L210" s="22" t="s">
        <v>13</v>
      </c>
      <c r="M210" s="22" t="s">
        <v>13</v>
      </c>
      <c r="N210" s="22" t="s">
        <v>529</v>
      </c>
      <c r="O210" s="24">
        <v>46145</v>
      </c>
      <c r="P210" s="24">
        <v>46849</v>
      </c>
      <c r="Q210" s="21" t="s">
        <v>652</v>
      </c>
      <c r="R210" s="24">
        <v>46145</v>
      </c>
    </row>
    <row r="211" spans="1:18" x14ac:dyDescent="0.35">
      <c r="A211" s="37">
        <v>11980</v>
      </c>
      <c r="B211" s="21" t="str">
        <f>"ALSB COMERCIO E SERVICOS LTDA"</f>
        <v>ALSB COMERCIO E SERVICOS LTDA</v>
      </c>
      <c r="C211" s="31">
        <v>46298</v>
      </c>
      <c r="D211" s="31">
        <v>46663</v>
      </c>
      <c r="E211" s="41">
        <v>94752</v>
      </c>
      <c r="F211" s="41">
        <v>0</v>
      </c>
      <c r="G211" s="41">
        <v>94752</v>
      </c>
      <c r="H211" s="21"/>
      <c r="I211" s="22" t="s">
        <v>530</v>
      </c>
      <c r="J211" s="23" t="s">
        <v>16</v>
      </c>
      <c r="K211" s="22" t="s">
        <v>530</v>
      </c>
      <c r="L211" s="22" t="s">
        <v>13</v>
      </c>
      <c r="M211" s="22" t="s">
        <v>13</v>
      </c>
      <c r="N211" s="22" t="s">
        <v>530</v>
      </c>
      <c r="O211" s="24">
        <v>46298</v>
      </c>
      <c r="P211" s="24">
        <v>46663</v>
      </c>
      <c r="Q211" s="21" t="s">
        <v>652</v>
      </c>
      <c r="R211" s="24">
        <v>46298</v>
      </c>
    </row>
    <row r="212" spans="1:18" x14ac:dyDescent="0.35">
      <c r="A212" s="37">
        <v>11981</v>
      </c>
      <c r="B212" s="21" t="str">
        <f>"NECTA INOVA CONTEUDOS ESTRATEGICOS LTDA"</f>
        <v>NECTA INOVA CONTEUDOS ESTRATEGICOS LTDA</v>
      </c>
      <c r="C212" s="31" t="s">
        <v>532</v>
      </c>
      <c r="D212" s="31" t="s">
        <v>533</v>
      </c>
      <c r="E212" s="41">
        <v>265500</v>
      </c>
      <c r="F212" s="41">
        <v>265500</v>
      </c>
      <c r="G212" s="41">
        <v>0</v>
      </c>
      <c r="H212" s="21"/>
      <c r="I212" s="22" t="s">
        <v>531</v>
      </c>
      <c r="J212" s="23" t="s">
        <v>531</v>
      </c>
      <c r="K212" s="22" t="s">
        <v>13</v>
      </c>
      <c r="L212" s="22" t="s">
        <v>13</v>
      </c>
      <c r="M212" s="22" t="s">
        <v>531</v>
      </c>
      <c r="N212" s="22" t="s">
        <v>13</v>
      </c>
      <c r="O212" s="24" t="s">
        <v>532</v>
      </c>
      <c r="P212" s="24" t="s">
        <v>533</v>
      </c>
      <c r="Q212" s="21" t="s">
        <v>652</v>
      </c>
      <c r="R212" s="24" t="s">
        <v>532</v>
      </c>
    </row>
    <row r="213" spans="1:18" x14ac:dyDescent="0.35">
      <c r="A213" s="37">
        <v>11982</v>
      </c>
      <c r="B213" s="21" t="str">
        <f>"MORDOR INTELLIGENCE PVT LTD"</f>
        <v>MORDOR INTELLIGENCE PVT LTD</v>
      </c>
      <c r="C213" s="31">
        <v>46358</v>
      </c>
      <c r="D213" s="31">
        <v>46723</v>
      </c>
      <c r="E213" s="41">
        <v>57000</v>
      </c>
      <c r="F213" s="41">
        <v>47490.5</v>
      </c>
      <c r="G213" s="41">
        <v>9509.5</v>
      </c>
      <c r="H213" s="21"/>
      <c r="I213" s="22" t="s">
        <v>534</v>
      </c>
      <c r="J213" s="23" t="s">
        <v>535</v>
      </c>
      <c r="K213" s="22" t="s">
        <v>536</v>
      </c>
      <c r="L213" s="22" t="s">
        <v>13</v>
      </c>
      <c r="M213" s="22" t="s">
        <v>535</v>
      </c>
      <c r="N213" s="22" t="s">
        <v>536</v>
      </c>
      <c r="O213" s="24">
        <v>46358</v>
      </c>
      <c r="P213" s="24">
        <v>46723</v>
      </c>
      <c r="Q213" s="21" t="s">
        <v>652</v>
      </c>
      <c r="R213" s="24">
        <v>46358</v>
      </c>
    </row>
    <row r="214" spans="1:18" x14ac:dyDescent="0.35">
      <c r="A214" s="37">
        <v>11983</v>
      </c>
      <c r="B214" s="21" t="str">
        <f>"FUNDACAO INSTITUTO DE PESQUISAS ECONOMICAS FIPE"</f>
        <v>FUNDACAO INSTITUTO DE PESQUISAS ECONOMICAS FIPE</v>
      </c>
      <c r="C214" s="31">
        <v>46084</v>
      </c>
      <c r="D214" s="31">
        <v>46815</v>
      </c>
      <c r="E214" s="41">
        <v>5215427</v>
      </c>
      <c r="F214" s="41">
        <v>670182.37</v>
      </c>
      <c r="G214" s="41">
        <v>4545244.63</v>
      </c>
      <c r="H214" s="21"/>
      <c r="I214" s="22" t="s">
        <v>537</v>
      </c>
      <c r="J214" s="23" t="s">
        <v>538</v>
      </c>
      <c r="K214" s="22" t="s">
        <v>539</v>
      </c>
      <c r="L214" s="22" t="s">
        <v>13</v>
      </c>
      <c r="M214" s="22" t="s">
        <v>538</v>
      </c>
      <c r="N214" s="22" t="s">
        <v>539</v>
      </c>
      <c r="O214" s="24">
        <v>46084</v>
      </c>
      <c r="P214" s="24">
        <v>46815</v>
      </c>
      <c r="Q214" s="21" t="s">
        <v>652</v>
      </c>
      <c r="R214" s="24">
        <v>46084</v>
      </c>
    </row>
    <row r="215" spans="1:18" x14ac:dyDescent="0.35">
      <c r="A215" s="37">
        <v>11984</v>
      </c>
      <c r="B215" s="21" t="str">
        <f>"EMPRESA MUNICIPAL DE TURISMO  BELOTUR"</f>
        <v>EMPRESA MUNICIPAL DE TURISMO  BELOTUR</v>
      </c>
      <c r="C215" s="31" t="s">
        <v>540</v>
      </c>
      <c r="D215" s="31" t="s">
        <v>541</v>
      </c>
      <c r="E215" s="41">
        <v>500000</v>
      </c>
      <c r="F215" s="41">
        <v>500000</v>
      </c>
      <c r="G215" s="41">
        <v>0</v>
      </c>
      <c r="H215" s="21"/>
      <c r="I215" s="22" t="s">
        <v>460</v>
      </c>
      <c r="J215" s="23" t="s">
        <v>460</v>
      </c>
      <c r="K215" s="22" t="s">
        <v>13</v>
      </c>
      <c r="L215" s="22" t="s">
        <v>13</v>
      </c>
      <c r="M215" s="22" t="s">
        <v>460</v>
      </c>
      <c r="N215" s="22" t="s">
        <v>13</v>
      </c>
      <c r="O215" s="24" t="s">
        <v>540</v>
      </c>
      <c r="P215" s="24" t="s">
        <v>541</v>
      </c>
      <c r="Q215" s="21" t="s">
        <v>652</v>
      </c>
      <c r="R215" s="24" t="s">
        <v>540</v>
      </c>
    </row>
    <row r="216" spans="1:18" x14ac:dyDescent="0.35">
      <c r="A216" s="37">
        <v>11985</v>
      </c>
      <c r="B216" s="21" t="str">
        <f>"FUNDACAO INSTITUTO DE PESQUISAS ECONOMICAS FIPE"</f>
        <v>FUNDACAO INSTITUTO DE PESQUISAS ECONOMICAS FIPE</v>
      </c>
      <c r="C216" s="31" t="s">
        <v>543</v>
      </c>
      <c r="D216" s="31" t="s">
        <v>544</v>
      </c>
      <c r="E216" s="41">
        <v>72800</v>
      </c>
      <c r="F216" s="41">
        <v>0</v>
      </c>
      <c r="G216" s="41">
        <v>72800</v>
      </c>
      <c r="H216" s="21"/>
      <c r="I216" s="22" t="s">
        <v>542</v>
      </c>
      <c r="J216" s="23" t="s">
        <v>16</v>
      </c>
      <c r="K216" s="22" t="s">
        <v>542</v>
      </c>
      <c r="L216" s="22" t="s">
        <v>13</v>
      </c>
      <c r="M216" s="22" t="s">
        <v>13</v>
      </c>
      <c r="N216" s="22" t="s">
        <v>542</v>
      </c>
      <c r="O216" s="24" t="s">
        <v>543</v>
      </c>
      <c r="P216" s="24" t="s">
        <v>544</v>
      </c>
      <c r="Q216" s="21" t="s">
        <v>652</v>
      </c>
      <c r="R216" s="24" t="s">
        <v>543</v>
      </c>
    </row>
    <row r="217" spans="1:18" x14ac:dyDescent="0.35">
      <c r="A217" s="37">
        <v>11987</v>
      </c>
      <c r="B217" s="21" t="str">
        <f>"DORIA ADMINISTRACAO E EVENTOS LTDA"</f>
        <v>DORIA ADMINISTRACAO E EVENTOS LTDA</v>
      </c>
      <c r="C217" s="31">
        <v>46361</v>
      </c>
      <c r="D217" s="31">
        <v>46337</v>
      </c>
      <c r="E217" s="41">
        <v>560000</v>
      </c>
      <c r="F217" s="41">
        <v>560000</v>
      </c>
      <c r="G217" s="41">
        <v>0</v>
      </c>
      <c r="H217" s="21"/>
      <c r="I217" s="22" t="s">
        <v>545</v>
      </c>
      <c r="J217" s="23" t="s">
        <v>545</v>
      </c>
      <c r="K217" s="22" t="s">
        <v>13</v>
      </c>
      <c r="L217" s="22" t="s">
        <v>13</v>
      </c>
      <c r="M217" s="22" t="s">
        <v>545</v>
      </c>
      <c r="N217" s="22" t="s">
        <v>13</v>
      </c>
      <c r="O217" s="24">
        <v>46361</v>
      </c>
      <c r="P217" s="24">
        <v>46337</v>
      </c>
      <c r="Q217" s="21" t="s">
        <v>652</v>
      </c>
      <c r="R217" s="24">
        <v>46361</v>
      </c>
    </row>
    <row r="218" spans="1:18" x14ac:dyDescent="0.35">
      <c r="A218" s="37">
        <v>11988</v>
      </c>
      <c r="B218" s="21" t="str">
        <f>"SERVICO SOCIAL AUTONOMO"</f>
        <v>SERVICO SOCIAL AUTONOMO</v>
      </c>
      <c r="C218" s="31" t="s">
        <v>547</v>
      </c>
      <c r="D218" s="31" t="s">
        <v>548</v>
      </c>
      <c r="E218" s="41">
        <v>1000000</v>
      </c>
      <c r="F218" s="41">
        <v>1000000</v>
      </c>
      <c r="G218" s="41">
        <v>0</v>
      </c>
      <c r="H218" s="21"/>
      <c r="I218" s="22" t="s">
        <v>546</v>
      </c>
      <c r="J218" s="23" t="s">
        <v>546</v>
      </c>
      <c r="K218" s="22" t="s">
        <v>13</v>
      </c>
      <c r="L218" s="22" t="s">
        <v>13</v>
      </c>
      <c r="M218" s="22" t="s">
        <v>546</v>
      </c>
      <c r="N218" s="22" t="s">
        <v>13</v>
      </c>
      <c r="O218" s="24" t="s">
        <v>547</v>
      </c>
      <c r="P218" s="24" t="s">
        <v>548</v>
      </c>
      <c r="Q218" s="21" t="s">
        <v>652</v>
      </c>
      <c r="R218" s="24" t="s">
        <v>547</v>
      </c>
    </row>
    <row r="219" spans="1:18" x14ac:dyDescent="0.35">
      <c r="A219" s="37">
        <v>11989</v>
      </c>
      <c r="B219" s="21" t="str">
        <f>"LUMENS ENGENHARIA LTDA"</f>
        <v>LUMENS ENGENHARIA LTDA</v>
      </c>
      <c r="C219" s="31">
        <v>46176</v>
      </c>
      <c r="D219" s="31">
        <v>46390</v>
      </c>
      <c r="E219" s="41">
        <v>1680000</v>
      </c>
      <c r="F219" s="41">
        <v>173590.8</v>
      </c>
      <c r="G219" s="41">
        <v>1506409.2</v>
      </c>
      <c r="H219" s="21"/>
      <c r="I219" s="22" t="s">
        <v>549</v>
      </c>
      <c r="J219" s="23" t="s">
        <v>840</v>
      </c>
      <c r="K219" s="22" t="s">
        <v>841</v>
      </c>
      <c r="L219" s="22" t="s">
        <v>13</v>
      </c>
      <c r="M219" s="22" t="s">
        <v>840</v>
      </c>
      <c r="N219" s="22" t="s">
        <v>841</v>
      </c>
      <c r="O219" s="24">
        <v>46176</v>
      </c>
      <c r="P219" s="24">
        <v>46390</v>
      </c>
      <c r="Q219" s="21" t="s">
        <v>652</v>
      </c>
      <c r="R219" s="24">
        <v>46176</v>
      </c>
    </row>
    <row r="220" spans="1:18" x14ac:dyDescent="0.35">
      <c r="A220" s="37">
        <v>11991</v>
      </c>
      <c r="B220" s="21" t="str">
        <f>"ASSOCIACAO  DOS REVENDEDORES DE VEICULOS NO ESTADO DE MINAS  GERAIS"</f>
        <v>ASSOCIACAO  DOS REVENDEDORES DE VEICULOS NO ESTADO DE MINAS  GERAIS</v>
      </c>
      <c r="C220" s="31" t="s">
        <v>551</v>
      </c>
      <c r="D220" s="31" t="s">
        <v>552</v>
      </c>
      <c r="E220" s="41">
        <v>120000</v>
      </c>
      <c r="F220" s="41">
        <v>120000</v>
      </c>
      <c r="G220" s="41">
        <v>0</v>
      </c>
      <c r="H220" s="21"/>
      <c r="I220" s="22" t="s">
        <v>550</v>
      </c>
      <c r="J220" s="23" t="s">
        <v>550</v>
      </c>
      <c r="K220" s="22" t="s">
        <v>13</v>
      </c>
      <c r="L220" s="22" t="s">
        <v>13</v>
      </c>
      <c r="M220" s="22" t="s">
        <v>550</v>
      </c>
      <c r="N220" s="22" t="s">
        <v>13</v>
      </c>
      <c r="O220" s="24" t="s">
        <v>551</v>
      </c>
      <c r="P220" s="24" t="s">
        <v>552</v>
      </c>
      <c r="Q220" s="21" t="s">
        <v>652</v>
      </c>
      <c r="R220" s="24" t="s">
        <v>551</v>
      </c>
    </row>
    <row r="221" spans="1:18" x14ac:dyDescent="0.35">
      <c r="A221" s="37">
        <v>11992</v>
      </c>
      <c r="B221" s="21" t="str">
        <f>"L3 SOFTWARE LTDA"</f>
        <v>L3 SOFTWARE LTDA</v>
      </c>
      <c r="C221" s="31">
        <v>46329</v>
      </c>
      <c r="D221" s="31">
        <v>46694</v>
      </c>
      <c r="E221" s="41">
        <v>300000</v>
      </c>
      <c r="F221" s="41">
        <v>0</v>
      </c>
      <c r="G221" s="41">
        <v>300000</v>
      </c>
      <c r="H221" s="21"/>
      <c r="I221" s="22" t="s">
        <v>100</v>
      </c>
      <c r="J221" s="23" t="s">
        <v>16</v>
      </c>
      <c r="K221" s="22" t="s">
        <v>100</v>
      </c>
      <c r="L221" s="22" t="s">
        <v>13</v>
      </c>
      <c r="M221" s="22" t="s">
        <v>13</v>
      </c>
      <c r="N221" s="22" t="s">
        <v>100</v>
      </c>
      <c r="O221" s="24">
        <v>46329</v>
      </c>
      <c r="P221" s="24">
        <v>46694</v>
      </c>
      <c r="Q221" s="21" t="s">
        <v>652</v>
      </c>
      <c r="R221" s="24">
        <v>46329</v>
      </c>
    </row>
    <row r="222" spans="1:18" x14ac:dyDescent="0.35">
      <c r="A222" s="37">
        <v>11993</v>
      </c>
      <c r="B222" s="21" t="str">
        <f>"PEIXE SP ASSOCIACAOO DE PSICULTORES EM AGUAS PAULISTAS E DA UNIAO"</f>
        <v>PEIXE SP ASSOCIACAOO DE PSICULTORES EM AGUAS PAULISTAS E DA UNIAO</v>
      </c>
      <c r="C222" s="31">
        <v>46299</v>
      </c>
      <c r="D222" s="31">
        <v>46368</v>
      </c>
      <c r="E222" s="41">
        <v>100000</v>
      </c>
      <c r="F222" s="41">
        <v>50000</v>
      </c>
      <c r="G222" s="41">
        <v>50000</v>
      </c>
      <c r="H222" s="21"/>
      <c r="I222" s="22" t="s">
        <v>428</v>
      </c>
      <c r="J222" s="23" t="s">
        <v>241</v>
      </c>
      <c r="K222" s="22" t="s">
        <v>241</v>
      </c>
      <c r="L222" s="22" t="s">
        <v>13</v>
      </c>
      <c r="M222" s="22" t="s">
        <v>241</v>
      </c>
      <c r="N222" s="22" t="s">
        <v>241</v>
      </c>
      <c r="O222" s="24">
        <v>46299</v>
      </c>
      <c r="P222" s="24">
        <v>46368</v>
      </c>
      <c r="Q222" s="21" t="s">
        <v>652</v>
      </c>
      <c r="R222" s="24">
        <v>46299</v>
      </c>
    </row>
    <row r="223" spans="1:18" x14ac:dyDescent="0.35">
      <c r="A223" s="37">
        <v>11994</v>
      </c>
      <c r="B223" s="21" t="str">
        <f>"CONSORCIO OPERACIONAL DO SISTEMA BILHETAGEM"</f>
        <v>CONSORCIO OPERACIONAL DO SISTEMA BILHETAGEM</v>
      </c>
      <c r="C223" s="31" t="s">
        <v>527</v>
      </c>
      <c r="D223" s="31" t="s">
        <v>27</v>
      </c>
      <c r="E223" s="41">
        <v>5831200</v>
      </c>
      <c r="F223" s="41">
        <v>2415300</v>
      </c>
      <c r="G223" s="41">
        <v>3415900</v>
      </c>
      <c r="H223" s="21"/>
      <c r="I223" s="22">
        <v>5831200</v>
      </c>
      <c r="J223" s="23">
        <v>2415300</v>
      </c>
      <c r="K223" s="22">
        <v>3415900</v>
      </c>
      <c r="L223" s="22" t="s">
        <v>13</v>
      </c>
      <c r="M223" s="22">
        <v>2415300</v>
      </c>
      <c r="N223" s="22">
        <v>3415900</v>
      </c>
      <c r="O223" s="24" t="s">
        <v>527</v>
      </c>
      <c r="P223" s="24" t="s">
        <v>27</v>
      </c>
      <c r="Q223" s="21" t="s">
        <v>652</v>
      </c>
      <c r="R223" s="24" t="s">
        <v>527</v>
      </c>
    </row>
    <row r="224" spans="1:18" x14ac:dyDescent="0.35">
      <c r="A224" s="37">
        <v>11996</v>
      </c>
      <c r="B224" s="21" t="str">
        <f>"L3 SOFTWARE LTDA"</f>
        <v>L3 SOFTWARE LTDA</v>
      </c>
      <c r="C224" s="31" t="s">
        <v>555</v>
      </c>
      <c r="D224" s="31" t="s">
        <v>556</v>
      </c>
      <c r="E224" s="41">
        <v>300000</v>
      </c>
      <c r="F224" s="41">
        <v>225000</v>
      </c>
      <c r="G224" s="41">
        <v>75000</v>
      </c>
      <c r="H224" s="21"/>
      <c r="I224" s="22" t="s">
        <v>100</v>
      </c>
      <c r="J224" s="23" t="s">
        <v>553</v>
      </c>
      <c r="K224" s="22" t="s">
        <v>554</v>
      </c>
      <c r="L224" s="22" t="s">
        <v>13</v>
      </c>
      <c r="M224" s="22" t="s">
        <v>553</v>
      </c>
      <c r="N224" s="22" t="s">
        <v>554</v>
      </c>
      <c r="O224" s="24" t="s">
        <v>555</v>
      </c>
      <c r="P224" s="24" t="s">
        <v>556</v>
      </c>
      <c r="Q224" s="21" t="s">
        <v>652</v>
      </c>
      <c r="R224" s="24" t="s">
        <v>555</v>
      </c>
    </row>
    <row r="225" spans="1:18" x14ac:dyDescent="0.35">
      <c r="A225" s="37">
        <v>11997</v>
      </c>
      <c r="B225" s="21" t="str">
        <f>"RADIO ITATIAIA  SA"</f>
        <v>RADIO ITATIAIA  SA</v>
      </c>
      <c r="C225" s="31" t="s">
        <v>559</v>
      </c>
      <c r="D225" s="31" t="s">
        <v>560</v>
      </c>
      <c r="E225" s="41">
        <v>350000</v>
      </c>
      <c r="F225" s="41">
        <v>334227.53000000003</v>
      </c>
      <c r="G225" s="41">
        <v>15772.47</v>
      </c>
      <c r="H225" s="21"/>
      <c r="I225" s="22" t="s">
        <v>492</v>
      </c>
      <c r="J225" s="23" t="s">
        <v>557</v>
      </c>
      <c r="K225" s="22" t="s">
        <v>558</v>
      </c>
      <c r="L225" s="22" t="s">
        <v>13</v>
      </c>
      <c r="M225" s="22" t="s">
        <v>557</v>
      </c>
      <c r="N225" s="22" t="s">
        <v>558</v>
      </c>
      <c r="O225" s="24" t="s">
        <v>559</v>
      </c>
      <c r="P225" s="24" t="s">
        <v>560</v>
      </c>
      <c r="Q225" s="21" t="s">
        <v>652</v>
      </c>
      <c r="R225" s="24" t="s">
        <v>559</v>
      </c>
    </row>
    <row r="226" spans="1:18" x14ac:dyDescent="0.35">
      <c r="A226" s="37">
        <v>11998</v>
      </c>
      <c r="B226" s="21" t="str">
        <f>"IMAGEM GEOSISTEMAS  E  COMERCIO LTDA"</f>
        <v>IMAGEM GEOSISTEMAS  E  COMERCIO LTDA</v>
      </c>
      <c r="C226" s="31">
        <v>46177</v>
      </c>
      <c r="D226" s="31" t="s">
        <v>562</v>
      </c>
      <c r="E226" s="41">
        <v>123329.63</v>
      </c>
      <c r="F226" s="41">
        <v>123329.63</v>
      </c>
      <c r="G226" s="41">
        <v>0</v>
      </c>
      <c r="H226" s="21"/>
      <c r="I226" s="22" t="s">
        <v>561</v>
      </c>
      <c r="J226" s="23" t="s">
        <v>561</v>
      </c>
      <c r="K226" s="22" t="s">
        <v>13</v>
      </c>
      <c r="L226" s="22" t="s">
        <v>13</v>
      </c>
      <c r="M226" s="22" t="s">
        <v>561</v>
      </c>
      <c r="N226" s="22" t="s">
        <v>13</v>
      </c>
      <c r="O226" s="24">
        <v>46177</v>
      </c>
      <c r="P226" s="24" t="s">
        <v>562</v>
      </c>
      <c r="Q226" s="21" t="s">
        <v>652</v>
      </c>
      <c r="R226" s="24">
        <v>46177</v>
      </c>
    </row>
    <row r="227" spans="1:18" x14ac:dyDescent="0.35">
      <c r="A227" s="37">
        <v>11999</v>
      </c>
      <c r="B227" s="21" t="str">
        <f>"PLX ASSET LTDA"</f>
        <v>PLX ASSET LTDA</v>
      </c>
      <c r="C227" s="31" t="s">
        <v>564</v>
      </c>
      <c r="D227" s="31" t="s">
        <v>112</v>
      </c>
      <c r="E227" s="41">
        <v>160000</v>
      </c>
      <c r="F227" s="41">
        <v>160000</v>
      </c>
      <c r="G227" s="41">
        <v>0</v>
      </c>
      <c r="H227" s="21"/>
      <c r="I227" s="22" t="s">
        <v>563</v>
      </c>
      <c r="J227" s="23" t="s">
        <v>563</v>
      </c>
      <c r="K227" s="22" t="s">
        <v>13</v>
      </c>
      <c r="L227" s="22" t="s">
        <v>13</v>
      </c>
      <c r="M227" s="22" t="s">
        <v>563</v>
      </c>
      <c r="N227" s="22" t="s">
        <v>13</v>
      </c>
      <c r="O227" s="24" t="s">
        <v>564</v>
      </c>
      <c r="P227" s="24" t="s">
        <v>112</v>
      </c>
      <c r="Q227" s="21" t="s">
        <v>652</v>
      </c>
      <c r="R227" s="24" t="s">
        <v>564</v>
      </c>
    </row>
    <row r="228" spans="1:18" x14ac:dyDescent="0.35">
      <c r="A228" s="37">
        <v>12000</v>
      </c>
      <c r="B228" s="21" t="str">
        <f>"MALINOVSKI FEIRAS E EVENTOS LTDA"</f>
        <v>MALINOVSKI FEIRAS E EVENTOS LTDA</v>
      </c>
      <c r="C228" s="31" t="s">
        <v>566</v>
      </c>
      <c r="D228" s="31" t="s">
        <v>235</v>
      </c>
      <c r="E228" s="41">
        <v>400000</v>
      </c>
      <c r="F228" s="41">
        <v>400000</v>
      </c>
      <c r="G228" s="41">
        <v>0</v>
      </c>
      <c r="H228" s="21"/>
      <c r="I228" s="22" t="s">
        <v>565</v>
      </c>
      <c r="J228" s="23" t="s">
        <v>565</v>
      </c>
      <c r="K228" s="22" t="s">
        <v>13</v>
      </c>
      <c r="L228" s="22" t="s">
        <v>13</v>
      </c>
      <c r="M228" s="22" t="s">
        <v>565</v>
      </c>
      <c r="N228" s="22" t="s">
        <v>13</v>
      </c>
      <c r="O228" s="24" t="s">
        <v>566</v>
      </c>
      <c r="P228" s="24" t="s">
        <v>235</v>
      </c>
      <c r="Q228" s="21" t="s">
        <v>652</v>
      </c>
      <c r="R228" s="24" t="s">
        <v>566</v>
      </c>
    </row>
    <row r="229" spans="1:18" x14ac:dyDescent="0.35">
      <c r="A229" s="37">
        <v>12001</v>
      </c>
      <c r="B229" s="21" t="str">
        <f>"SOUZA CESCON BARRIEU  FLESCH SOCIEDADE DE ADVOGADOS"</f>
        <v>SOUZA CESCON BARRIEU  FLESCH SOCIEDADE DE ADVOGADOS</v>
      </c>
      <c r="C229" s="31" t="s">
        <v>568</v>
      </c>
      <c r="D229" s="31" t="s">
        <v>569</v>
      </c>
      <c r="E229" s="41">
        <v>510000</v>
      </c>
      <c r="F229" s="41">
        <v>155652.48000000001</v>
      </c>
      <c r="G229" s="41">
        <v>354347.52000000002</v>
      </c>
      <c r="H229" s="21"/>
      <c r="I229" s="22" t="s">
        <v>567</v>
      </c>
      <c r="J229" s="23" t="s">
        <v>842</v>
      </c>
      <c r="K229" s="22" t="s">
        <v>843</v>
      </c>
      <c r="L229" s="22" t="s">
        <v>13</v>
      </c>
      <c r="M229" s="22" t="s">
        <v>842</v>
      </c>
      <c r="N229" s="22" t="s">
        <v>843</v>
      </c>
      <c r="O229" s="24" t="s">
        <v>568</v>
      </c>
      <c r="P229" s="24" t="s">
        <v>569</v>
      </c>
      <c r="Q229" s="21" t="s">
        <v>652</v>
      </c>
      <c r="R229" s="24" t="s">
        <v>568</v>
      </c>
    </row>
    <row r="230" spans="1:18" x14ac:dyDescent="0.35">
      <c r="A230" s="37">
        <v>12002</v>
      </c>
      <c r="B230" s="21" t="str">
        <f>"ASSOCIACAO CENTRAL DOS FRUTICULTORES DO NORTE DE MINAS  ABANORTE"</f>
        <v>ASSOCIACAO CENTRAL DOS FRUTICULTORES DO NORTE DE MINAS  ABANORTE</v>
      </c>
      <c r="C230" s="31" t="s">
        <v>571</v>
      </c>
      <c r="D230" s="31" t="s">
        <v>290</v>
      </c>
      <c r="E230" s="41">
        <v>200000</v>
      </c>
      <c r="F230" s="41">
        <v>199827.6</v>
      </c>
      <c r="G230" s="41">
        <v>1724000</v>
      </c>
      <c r="H230" s="21"/>
      <c r="I230" s="22" t="s">
        <v>445</v>
      </c>
      <c r="J230" s="23" t="s">
        <v>570</v>
      </c>
      <c r="K230" s="22">
        <v>1724000</v>
      </c>
      <c r="L230" s="22" t="s">
        <v>13</v>
      </c>
      <c r="M230" s="22" t="s">
        <v>570</v>
      </c>
      <c r="N230" s="22">
        <v>1724000</v>
      </c>
      <c r="O230" s="24" t="s">
        <v>571</v>
      </c>
      <c r="P230" s="24" t="s">
        <v>290</v>
      </c>
      <c r="Q230" s="21" t="s">
        <v>652</v>
      </c>
      <c r="R230" s="24" t="s">
        <v>571</v>
      </c>
    </row>
    <row r="231" spans="1:18" x14ac:dyDescent="0.35">
      <c r="A231" s="37">
        <v>12006</v>
      </c>
      <c r="B231" s="21" t="str">
        <f>"COMERCIAL ML DE PECAS LTDA"</f>
        <v>COMERCIAL ML DE PECAS LTDA</v>
      </c>
      <c r="C231" s="31">
        <v>46117</v>
      </c>
      <c r="D231" s="31">
        <v>46482</v>
      </c>
      <c r="E231" s="41">
        <v>177612.7</v>
      </c>
      <c r="F231" s="41">
        <v>40359.910000000003</v>
      </c>
      <c r="G231" s="41">
        <v>137252.79</v>
      </c>
      <c r="H231" s="21"/>
      <c r="I231" s="22" t="s">
        <v>572</v>
      </c>
      <c r="J231" s="23" t="s">
        <v>573</v>
      </c>
      <c r="K231" s="22" t="s">
        <v>574</v>
      </c>
      <c r="L231" s="22" t="s">
        <v>13</v>
      </c>
      <c r="M231" s="22" t="s">
        <v>573</v>
      </c>
      <c r="N231" s="22" t="s">
        <v>574</v>
      </c>
      <c r="O231" s="24">
        <v>46117</v>
      </c>
      <c r="P231" s="24">
        <v>46482</v>
      </c>
      <c r="Q231" s="21" t="s">
        <v>652</v>
      </c>
      <c r="R231" s="24">
        <v>46117</v>
      </c>
    </row>
    <row r="232" spans="1:18" x14ac:dyDescent="0.35">
      <c r="A232" s="37">
        <v>12007</v>
      </c>
      <c r="B232" s="21" t="str">
        <f>"DISTRIBUIDORA DE AGUAS MINERAIS BH LTDA"</f>
        <v>DISTRIBUIDORA DE AGUAS MINERAIS BH LTDA</v>
      </c>
      <c r="C232" s="31" t="s">
        <v>578</v>
      </c>
      <c r="D232" s="31" t="s">
        <v>579</v>
      </c>
      <c r="E232" s="41">
        <v>8233.92</v>
      </c>
      <c r="F232" s="41">
        <v>2058.48</v>
      </c>
      <c r="G232" s="41">
        <v>6175.44</v>
      </c>
      <c r="H232" s="21"/>
      <c r="I232" s="22" t="s">
        <v>575</v>
      </c>
      <c r="J232" s="23" t="s">
        <v>576</v>
      </c>
      <c r="K232" s="22" t="s">
        <v>577</v>
      </c>
      <c r="L232" s="22" t="s">
        <v>13</v>
      </c>
      <c r="M232" s="22" t="s">
        <v>576</v>
      </c>
      <c r="N232" s="22" t="s">
        <v>577</v>
      </c>
      <c r="O232" s="24" t="s">
        <v>578</v>
      </c>
      <c r="P232" s="24" t="s">
        <v>579</v>
      </c>
      <c r="Q232" s="21" t="s">
        <v>652</v>
      </c>
      <c r="R232" s="24" t="s">
        <v>578</v>
      </c>
    </row>
    <row r="233" spans="1:18" x14ac:dyDescent="0.35">
      <c r="A233" s="37">
        <v>12008</v>
      </c>
      <c r="B233" s="21" t="str">
        <f>"MG BLOCK EQUIPAMENTOS LTDA"</f>
        <v>MG BLOCK EQUIPAMENTOS LTDA</v>
      </c>
      <c r="C233" s="31">
        <v>46208</v>
      </c>
      <c r="D233" s="31">
        <v>46544</v>
      </c>
      <c r="E233" s="41">
        <v>13800</v>
      </c>
      <c r="F233" s="41">
        <v>5000</v>
      </c>
      <c r="G233" s="41">
        <v>8800</v>
      </c>
      <c r="H233" s="21"/>
      <c r="I233" s="22" t="s">
        <v>580</v>
      </c>
      <c r="J233" s="23" t="s">
        <v>429</v>
      </c>
      <c r="K233" s="22" t="s">
        <v>844</v>
      </c>
      <c r="L233" s="22" t="s">
        <v>13</v>
      </c>
      <c r="M233" s="22" t="s">
        <v>429</v>
      </c>
      <c r="N233" s="22" t="s">
        <v>844</v>
      </c>
      <c r="O233" s="24">
        <v>46208</v>
      </c>
      <c r="P233" s="24">
        <v>46544</v>
      </c>
      <c r="Q233" s="21" t="s">
        <v>652</v>
      </c>
      <c r="R233" s="24">
        <v>46208</v>
      </c>
    </row>
    <row r="234" spans="1:18" x14ac:dyDescent="0.35">
      <c r="A234" s="37">
        <v>12009</v>
      </c>
      <c r="B234" s="21" t="str">
        <f>"FUNDACAO EDUCACIONAL E CULTURAL DO SUDOESTE MINEIRO"</f>
        <v>FUNDACAO EDUCACIONAL E CULTURAL DO SUDOESTE MINEIRO</v>
      </c>
      <c r="C234" s="31" t="s">
        <v>578</v>
      </c>
      <c r="D234" s="31" t="s">
        <v>581</v>
      </c>
      <c r="E234" s="41">
        <v>350000</v>
      </c>
      <c r="F234" s="41">
        <v>349900</v>
      </c>
      <c r="G234" s="41">
        <v>1000000</v>
      </c>
      <c r="H234" s="21"/>
      <c r="I234" s="22" t="s">
        <v>492</v>
      </c>
      <c r="J234" s="23" t="s">
        <v>845</v>
      </c>
      <c r="K234" s="22">
        <v>1000000</v>
      </c>
      <c r="L234" s="22" t="s">
        <v>13</v>
      </c>
      <c r="M234" s="22" t="s">
        <v>845</v>
      </c>
      <c r="N234" s="22">
        <v>1000000</v>
      </c>
      <c r="O234" s="24" t="s">
        <v>578</v>
      </c>
      <c r="P234" s="24" t="s">
        <v>581</v>
      </c>
      <c r="Q234" s="21" t="s">
        <v>652</v>
      </c>
      <c r="R234" s="24" t="s">
        <v>578</v>
      </c>
    </row>
    <row r="235" spans="1:18" x14ac:dyDescent="0.35">
      <c r="A235" s="37">
        <v>12010</v>
      </c>
      <c r="B235" s="21" t="str">
        <f>"PROFI COMERCIO DE ALIMENTOS LTDA"</f>
        <v>PROFI COMERCIO DE ALIMENTOS LTDA</v>
      </c>
      <c r="C235" s="31">
        <v>46178</v>
      </c>
      <c r="D235" s="31">
        <v>46512</v>
      </c>
      <c r="E235" s="41">
        <v>18135.599999999999</v>
      </c>
      <c r="F235" s="41">
        <v>3238.5</v>
      </c>
      <c r="G235" s="41">
        <v>14897.1</v>
      </c>
      <c r="H235" s="21"/>
      <c r="I235" s="22" t="s">
        <v>582</v>
      </c>
      <c r="J235" s="23" t="s">
        <v>846</v>
      </c>
      <c r="K235" s="22" t="s">
        <v>847</v>
      </c>
      <c r="L235" s="22" t="s">
        <v>13</v>
      </c>
      <c r="M235" s="22" t="s">
        <v>846</v>
      </c>
      <c r="N235" s="22" t="s">
        <v>847</v>
      </c>
      <c r="O235" s="24">
        <v>46178</v>
      </c>
      <c r="P235" s="24">
        <v>46512</v>
      </c>
      <c r="Q235" s="21" t="s">
        <v>652</v>
      </c>
      <c r="R235" s="24">
        <v>46178</v>
      </c>
    </row>
    <row r="236" spans="1:18" x14ac:dyDescent="0.35">
      <c r="A236" s="37">
        <v>12011</v>
      </c>
      <c r="B236" s="21" t="str">
        <f>"PRODEMGE  CIA DE TECNOL DA INFORMACAO DE MG"</f>
        <v>PRODEMGE  CIA DE TECNOL DA INFORMACAO DE MG</v>
      </c>
      <c r="C236" s="31" t="s">
        <v>584</v>
      </c>
      <c r="D236" s="31" t="s">
        <v>585</v>
      </c>
      <c r="E236" s="41">
        <v>315942</v>
      </c>
      <c r="F236" s="41">
        <v>0</v>
      </c>
      <c r="G236" s="41">
        <v>315942</v>
      </c>
      <c r="H236" s="21"/>
      <c r="I236" s="22" t="s">
        <v>583</v>
      </c>
      <c r="J236" s="23" t="s">
        <v>16</v>
      </c>
      <c r="K236" s="22" t="s">
        <v>583</v>
      </c>
      <c r="L236" s="22" t="s">
        <v>13</v>
      </c>
      <c r="M236" s="22" t="s">
        <v>13</v>
      </c>
      <c r="N236" s="22" t="s">
        <v>583</v>
      </c>
      <c r="O236" s="24" t="s">
        <v>584</v>
      </c>
      <c r="P236" s="24" t="s">
        <v>585</v>
      </c>
      <c r="Q236" s="21" t="s">
        <v>652</v>
      </c>
      <c r="R236" s="24" t="s">
        <v>584</v>
      </c>
    </row>
    <row r="237" spans="1:18" x14ac:dyDescent="0.35">
      <c r="A237" s="37">
        <v>12012</v>
      </c>
      <c r="B237" s="21" t="str">
        <f>"ASSOCIACAO MINEIRA DE MUNICIPIOS"</f>
        <v>ASSOCIACAO MINEIRA DE MUNICIPIOS</v>
      </c>
      <c r="C237" s="31">
        <v>46147</v>
      </c>
      <c r="D237" s="31">
        <v>46478</v>
      </c>
      <c r="E237" s="41">
        <v>1000000</v>
      </c>
      <c r="F237" s="41">
        <v>1000000</v>
      </c>
      <c r="G237" s="41">
        <v>0</v>
      </c>
      <c r="H237" s="21"/>
      <c r="I237" s="22" t="s">
        <v>546</v>
      </c>
      <c r="J237" s="23" t="s">
        <v>546</v>
      </c>
      <c r="K237" s="22" t="s">
        <v>13</v>
      </c>
      <c r="L237" s="22" t="s">
        <v>13</v>
      </c>
      <c r="M237" s="22" t="s">
        <v>546</v>
      </c>
      <c r="N237" s="22" t="s">
        <v>13</v>
      </c>
      <c r="O237" s="24">
        <v>46147</v>
      </c>
      <c r="P237" s="24">
        <v>46478</v>
      </c>
      <c r="Q237" s="21" t="s">
        <v>652</v>
      </c>
      <c r="R237" s="24">
        <v>46147</v>
      </c>
    </row>
    <row r="238" spans="1:18" x14ac:dyDescent="0.35">
      <c r="A238" s="37">
        <v>12013</v>
      </c>
      <c r="B238" s="21" t="str">
        <f>"LACERDA DINIZ SENA ADVOGADOS"</f>
        <v>LACERDA DINIZ SENA ADVOGADOS</v>
      </c>
      <c r="C238" s="31">
        <v>46239</v>
      </c>
      <c r="D238" s="31">
        <v>46573</v>
      </c>
      <c r="E238" s="41">
        <v>150000</v>
      </c>
      <c r="F238" s="41">
        <v>37500</v>
      </c>
      <c r="G238" s="41">
        <v>112500</v>
      </c>
      <c r="H238" s="21"/>
      <c r="I238" s="22" t="s">
        <v>523</v>
      </c>
      <c r="J238" s="23" t="s">
        <v>848</v>
      </c>
      <c r="K238" s="22" t="s">
        <v>849</v>
      </c>
      <c r="L238" s="22" t="s">
        <v>13</v>
      </c>
      <c r="M238" s="22" t="s">
        <v>848</v>
      </c>
      <c r="N238" s="22" t="s">
        <v>849</v>
      </c>
      <c r="O238" s="24">
        <v>46239</v>
      </c>
      <c r="P238" s="24">
        <v>46573</v>
      </c>
      <c r="Q238" s="21" t="s">
        <v>652</v>
      </c>
      <c r="R238" s="24">
        <v>46239</v>
      </c>
    </row>
    <row r="239" spans="1:18" x14ac:dyDescent="0.35">
      <c r="A239" s="37">
        <v>12015</v>
      </c>
      <c r="B239" s="21" t="str">
        <f>"SETTE TURISMO PROMOCOES E EVENTOS LTDA"</f>
        <v>SETTE TURISMO PROMOCOES E EVENTOS LTDA</v>
      </c>
      <c r="C239" s="31" t="s">
        <v>587</v>
      </c>
      <c r="D239" s="31" t="s">
        <v>588</v>
      </c>
      <c r="E239" s="41">
        <v>200000</v>
      </c>
      <c r="F239" s="41">
        <v>200000</v>
      </c>
      <c r="G239" s="41">
        <v>0</v>
      </c>
      <c r="H239" s="21"/>
      <c r="I239" s="22" t="s">
        <v>445</v>
      </c>
      <c r="J239" s="23" t="s">
        <v>445</v>
      </c>
      <c r="K239" s="22" t="s">
        <v>13</v>
      </c>
      <c r="L239" s="22" t="s">
        <v>13</v>
      </c>
      <c r="M239" s="22" t="s">
        <v>445</v>
      </c>
      <c r="N239" s="22" t="s">
        <v>13</v>
      </c>
      <c r="O239" s="24" t="s">
        <v>587</v>
      </c>
      <c r="P239" s="24" t="s">
        <v>588</v>
      </c>
      <c r="Q239" s="21" t="s">
        <v>652</v>
      </c>
      <c r="R239" s="24" t="s">
        <v>587</v>
      </c>
    </row>
    <row r="240" spans="1:18" x14ac:dyDescent="0.35">
      <c r="A240" s="37">
        <v>12016</v>
      </c>
      <c r="B240" s="21" t="str">
        <f>"FEDERACAO DA AGRICULTURA E PECUARIA DO ESTADO DE MINAS GERAIS"</f>
        <v>FEDERACAO DA AGRICULTURA E PECUARIA DO ESTADO DE MINAS GERAIS</v>
      </c>
      <c r="C240" s="31" t="s">
        <v>589</v>
      </c>
      <c r="D240" s="31">
        <v>46185</v>
      </c>
      <c r="E240" s="41">
        <v>300000</v>
      </c>
      <c r="F240" s="41">
        <v>0</v>
      </c>
      <c r="G240" s="41">
        <v>300000</v>
      </c>
      <c r="H240" s="21"/>
      <c r="I240" s="22" t="s">
        <v>100</v>
      </c>
      <c r="J240" s="23" t="s">
        <v>16</v>
      </c>
      <c r="K240" s="22" t="s">
        <v>100</v>
      </c>
      <c r="L240" s="22" t="s">
        <v>13</v>
      </c>
      <c r="M240" s="22" t="s">
        <v>13</v>
      </c>
      <c r="N240" s="22" t="s">
        <v>100</v>
      </c>
      <c r="O240" s="24" t="s">
        <v>589</v>
      </c>
      <c r="P240" s="24">
        <v>46185</v>
      </c>
      <c r="Q240" s="21" t="s">
        <v>652</v>
      </c>
      <c r="R240" s="24" t="s">
        <v>589</v>
      </c>
    </row>
    <row r="241" spans="1:18" x14ac:dyDescent="0.35">
      <c r="A241" s="37">
        <v>12017</v>
      </c>
      <c r="B241" s="21" t="str">
        <f>"ACT COMUNICACAO EMPRESARIAL LTDA"</f>
        <v>ACT COMUNICACAO EMPRESARIAL LTDA</v>
      </c>
      <c r="C241" s="31" t="s">
        <v>584</v>
      </c>
      <c r="D241" s="31" t="s">
        <v>593</v>
      </c>
      <c r="E241" s="41">
        <v>68000</v>
      </c>
      <c r="F241" s="41">
        <v>46500</v>
      </c>
      <c r="G241" s="41">
        <v>21500</v>
      </c>
      <c r="H241" s="21"/>
      <c r="I241" s="22" t="s">
        <v>590</v>
      </c>
      <c r="J241" s="23" t="s">
        <v>591</v>
      </c>
      <c r="K241" s="22" t="s">
        <v>592</v>
      </c>
      <c r="L241" s="22" t="s">
        <v>13</v>
      </c>
      <c r="M241" s="22" t="s">
        <v>591</v>
      </c>
      <c r="N241" s="22" t="s">
        <v>592</v>
      </c>
      <c r="O241" s="24" t="s">
        <v>584</v>
      </c>
      <c r="P241" s="24" t="s">
        <v>593</v>
      </c>
      <c r="Q241" s="21" t="s">
        <v>652</v>
      </c>
      <c r="R241" s="24" t="s">
        <v>584</v>
      </c>
    </row>
    <row r="242" spans="1:18" x14ac:dyDescent="0.35">
      <c r="A242" s="37">
        <v>12018</v>
      </c>
      <c r="B242" s="21" t="str">
        <f>"SEMPRE EDITORA LTDA"</f>
        <v>SEMPRE EDITORA LTDA</v>
      </c>
      <c r="C242" s="31">
        <v>46361</v>
      </c>
      <c r="D242" s="31">
        <v>46722</v>
      </c>
      <c r="E242" s="41">
        <v>75000</v>
      </c>
      <c r="F242" s="41">
        <v>0</v>
      </c>
      <c r="G242" s="41">
        <v>75000</v>
      </c>
      <c r="H242" s="21"/>
      <c r="I242" s="22" t="s">
        <v>554</v>
      </c>
      <c r="J242" s="23" t="s">
        <v>16</v>
      </c>
      <c r="K242" s="22" t="s">
        <v>554</v>
      </c>
      <c r="L242" s="22" t="s">
        <v>13</v>
      </c>
      <c r="M242" s="22" t="s">
        <v>13</v>
      </c>
      <c r="N242" s="22" t="s">
        <v>554</v>
      </c>
      <c r="O242" s="24">
        <v>46361</v>
      </c>
      <c r="P242" s="24">
        <v>46722</v>
      </c>
      <c r="Q242" s="21" t="s">
        <v>652</v>
      </c>
      <c r="R242" s="24">
        <v>46361</v>
      </c>
    </row>
    <row r="243" spans="1:18" x14ac:dyDescent="0.35">
      <c r="A243" s="37">
        <v>12019</v>
      </c>
      <c r="B243" s="21" t="str">
        <f>"ASSOCIACAO DOS FORNECEDORES DE CANA DA REGIAO DE CAMPO FLORIDO"</f>
        <v>ASSOCIACAO DOS FORNECEDORES DE CANA DA REGIAO DE CAMPO FLORIDO</v>
      </c>
      <c r="C243" s="31" t="s">
        <v>589</v>
      </c>
      <c r="D243" s="31" t="s">
        <v>595</v>
      </c>
      <c r="E243" s="41">
        <v>650000</v>
      </c>
      <c r="F243" s="41">
        <v>0</v>
      </c>
      <c r="G243" s="41">
        <v>650000</v>
      </c>
      <c r="H243" s="21"/>
      <c r="I243" s="22" t="s">
        <v>594</v>
      </c>
      <c r="J243" s="23" t="s">
        <v>16</v>
      </c>
      <c r="K243" s="22" t="s">
        <v>594</v>
      </c>
      <c r="L243" s="22" t="s">
        <v>13</v>
      </c>
      <c r="M243" s="22" t="s">
        <v>13</v>
      </c>
      <c r="N243" s="22" t="s">
        <v>594</v>
      </c>
      <c r="O243" s="24" t="s">
        <v>589</v>
      </c>
      <c r="P243" s="24" t="s">
        <v>595</v>
      </c>
      <c r="Q243" s="21" t="s">
        <v>652</v>
      </c>
      <c r="R243" s="24" t="s">
        <v>589</v>
      </c>
    </row>
    <row r="244" spans="1:18" x14ac:dyDescent="0.35">
      <c r="A244" s="37">
        <v>12020</v>
      </c>
      <c r="B244" s="21" t="str">
        <f>"INSTITUTO RUI BARBOSA"</f>
        <v>INSTITUTO RUI BARBOSA</v>
      </c>
      <c r="C244" s="31" t="s">
        <v>589</v>
      </c>
      <c r="D244" s="31" t="s">
        <v>597</v>
      </c>
      <c r="E244" s="41">
        <v>180000</v>
      </c>
      <c r="F244" s="41">
        <v>0</v>
      </c>
      <c r="G244" s="41">
        <v>180000</v>
      </c>
      <c r="H244" s="21"/>
      <c r="I244" s="22" t="s">
        <v>596</v>
      </c>
      <c r="J244" s="23" t="s">
        <v>16</v>
      </c>
      <c r="K244" s="22" t="s">
        <v>596</v>
      </c>
      <c r="L244" s="22" t="s">
        <v>13</v>
      </c>
      <c r="M244" s="22" t="s">
        <v>13</v>
      </c>
      <c r="N244" s="22" t="s">
        <v>596</v>
      </c>
      <c r="O244" s="24" t="s">
        <v>589</v>
      </c>
      <c r="P244" s="24" t="s">
        <v>597</v>
      </c>
      <c r="Q244" s="21" t="s">
        <v>652</v>
      </c>
      <c r="R244" s="24" t="s">
        <v>589</v>
      </c>
    </row>
    <row r="245" spans="1:18" x14ac:dyDescent="0.35">
      <c r="A245" s="37">
        <v>12022</v>
      </c>
      <c r="B245" s="21" t="str">
        <f>"COOPERATIVA DOS CAFEICULTORES DO CERRADO DE ARAGUARI E REGIAO LTDA"</f>
        <v>COOPERATIVA DOS CAFEICULTORES DO CERRADO DE ARAGUARI E REGIAO LTDA</v>
      </c>
      <c r="C245" s="31">
        <v>46028</v>
      </c>
      <c r="D245" s="31">
        <v>46034</v>
      </c>
      <c r="E245" s="41">
        <v>200000</v>
      </c>
      <c r="F245" s="41">
        <v>0</v>
      </c>
      <c r="G245" s="41">
        <v>200000</v>
      </c>
      <c r="H245" s="21"/>
      <c r="I245" s="22" t="s">
        <v>445</v>
      </c>
      <c r="J245" s="23" t="s">
        <v>16</v>
      </c>
      <c r="K245" s="22" t="s">
        <v>445</v>
      </c>
      <c r="L245" s="22" t="s">
        <v>13</v>
      </c>
      <c r="M245" s="22" t="s">
        <v>13</v>
      </c>
      <c r="N245" s="22" t="s">
        <v>445</v>
      </c>
      <c r="O245" s="24">
        <v>46028</v>
      </c>
      <c r="P245" s="24">
        <v>46034</v>
      </c>
      <c r="Q245" s="21" t="s">
        <v>652</v>
      </c>
      <c r="R245" s="24">
        <v>46028</v>
      </c>
    </row>
    <row r="246" spans="1:18" x14ac:dyDescent="0.35">
      <c r="A246" s="37">
        <v>12023</v>
      </c>
      <c r="B246" s="21" t="str">
        <f>"ASSOCIACAO BRASILEIRA DOS CRIADORES DE GIROLANDO"</f>
        <v>ASSOCIACAO BRASILEIRA DOS CRIADORES DE GIROLANDO</v>
      </c>
      <c r="C246" s="31">
        <v>46087</v>
      </c>
      <c r="D246" s="31">
        <v>46185</v>
      </c>
      <c r="E246" s="41">
        <v>900000</v>
      </c>
      <c r="F246" s="41">
        <v>0</v>
      </c>
      <c r="G246" s="41">
        <v>900000</v>
      </c>
      <c r="H246" s="21"/>
      <c r="I246" s="22" t="s">
        <v>598</v>
      </c>
      <c r="J246" s="23" t="s">
        <v>16</v>
      </c>
      <c r="K246" s="22" t="s">
        <v>598</v>
      </c>
      <c r="L246" s="22" t="s">
        <v>13</v>
      </c>
      <c r="M246" s="22" t="s">
        <v>13</v>
      </c>
      <c r="N246" s="22" t="s">
        <v>598</v>
      </c>
      <c r="O246" s="24">
        <v>46087</v>
      </c>
      <c r="P246" s="24">
        <v>46185</v>
      </c>
      <c r="Q246" s="21" t="s">
        <v>652</v>
      </c>
      <c r="R246" s="24">
        <v>46087</v>
      </c>
    </row>
    <row r="247" spans="1:18" x14ac:dyDescent="0.35">
      <c r="A247" s="37">
        <v>12024</v>
      </c>
      <c r="B247" s="21" t="str">
        <f>"SEMPRE EDITORA LTDA"</f>
        <v>SEMPRE EDITORA LTDA</v>
      </c>
      <c r="C247" s="31">
        <v>46240</v>
      </c>
      <c r="D247" s="31">
        <v>46368</v>
      </c>
      <c r="E247" s="41">
        <v>75000</v>
      </c>
      <c r="F247" s="41">
        <v>0</v>
      </c>
      <c r="G247" s="41">
        <v>75000</v>
      </c>
      <c r="H247" s="21"/>
      <c r="I247" s="22" t="s">
        <v>554</v>
      </c>
      <c r="J247" s="23" t="s">
        <v>16</v>
      </c>
      <c r="K247" s="22" t="s">
        <v>554</v>
      </c>
      <c r="L247" s="22" t="s">
        <v>13</v>
      </c>
      <c r="M247" s="22" t="s">
        <v>13</v>
      </c>
      <c r="N247" s="22" t="s">
        <v>554</v>
      </c>
      <c r="O247" s="24">
        <v>46240</v>
      </c>
      <c r="P247" s="24">
        <v>46368</v>
      </c>
      <c r="Q247" s="21" t="s">
        <v>652</v>
      </c>
      <c r="R247" s="24">
        <v>46240</v>
      </c>
    </row>
    <row r="248" spans="1:18" x14ac:dyDescent="0.35">
      <c r="A248" s="37">
        <v>12025</v>
      </c>
      <c r="B248" s="21" t="str">
        <f>"PLANILHAR TREINAMENTO E CONSULTORIA EM LICITACOES LTDA"</f>
        <v>PLANILHAR TREINAMENTO E CONSULTORIA EM LICITACOES LTDA</v>
      </c>
      <c r="C248" s="31">
        <v>46271</v>
      </c>
      <c r="D248" s="31">
        <v>46605</v>
      </c>
      <c r="E248" s="41">
        <v>125000</v>
      </c>
      <c r="F248" s="41">
        <v>6250</v>
      </c>
      <c r="G248" s="41">
        <v>118750</v>
      </c>
      <c r="H248" s="21"/>
      <c r="I248" s="22" t="s">
        <v>586</v>
      </c>
      <c r="J248" s="23" t="s">
        <v>850</v>
      </c>
      <c r="K248" s="22" t="s">
        <v>851</v>
      </c>
      <c r="L248" s="22" t="s">
        <v>13</v>
      </c>
      <c r="M248" s="22" t="s">
        <v>850</v>
      </c>
      <c r="N248" s="22" t="s">
        <v>851</v>
      </c>
      <c r="O248" s="24">
        <v>46271</v>
      </c>
      <c r="P248" s="24">
        <v>46605</v>
      </c>
      <c r="Q248" s="21" t="s">
        <v>652</v>
      </c>
      <c r="R248" s="24">
        <v>46271</v>
      </c>
    </row>
    <row r="249" spans="1:18" x14ac:dyDescent="0.35">
      <c r="A249" s="37">
        <v>12026</v>
      </c>
      <c r="B249" s="21" t="str">
        <f>"HPL PRODUCOES EVENTOS EIRELI"</f>
        <v>HPL PRODUCOES EVENTOS EIRELI</v>
      </c>
      <c r="C249" s="31">
        <v>46087</v>
      </c>
      <c r="D249" s="31" t="s">
        <v>599</v>
      </c>
      <c r="E249" s="41">
        <v>100000</v>
      </c>
      <c r="F249" s="41">
        <v>100000</v>
      </c>
      <c r="G249" s="41">
        <v>0</v>
      </c>
      <c r="H249" s="21"/>
      <c r="I249" s="22" t="s">
        <v>428</v>
      </c>
      <c r="J249" s="23" t="s">
        <v>428</v>
      </c>
      <c r="K249" s="22" t="s">
        <v>13</v>
      </c>
      <c r="L249" s="22" t="s">
        <v>13</v>
      </c>
      <c r="M249" s="22" t="s">
        <v>428</v>
      </c>
      <c r="N249" s="22" t="s">
        <v>13</v>
      </c>
      <c r="O249" s="24">
        <v>46087</v>
      </c>
      <c r="P249" s="24" t="s">
        <v>599</v>
      </c>
      <c r="Q249" s="21" t="s">
        <v>652</v>
      </c>
      <c r="R249" s="24">
        <v>46087</v>
      </c>
    </row>
    <row r="250" spans="1:18" x14ac:dyDescent="0.35">
      <c r="A250" s="37">
        <v>12027</v>
      </c>
      <c r="B250" s="21" t="str">
        <f>"ECOLOGICO COMUNICACAO EM MEIO AMBIENTE LTDA"</f>
        <v>ECOLOGICO COMUNICACAO EM MEIO AMBIENTE LTDA</v>
      </c>
      <c r="C250" s="31">
        <v>46240</v>
      </c>
      <c r="D250" s="31">
        <v>46246</v>
      </c>
      <c r="E250" s="41">
        <v>35000</v>
      </c>
      <c r="F250" s="41">
        <v>0</v>
      </c>
      <c r="G250" s="41">
        <v>35000</v>
      </c>
      <c r="H250" s="21"/>
      <c r="I250" s="22" t="s">
        <v>600</v>
      </c>
      <c r="J250" s="23" t="s">
        <v>16</v>
      </c>
      <c r="K250" s="22" t="s">
        <v>600</v>
      </c>
      <c r="L250" s="22" t="s">
        <v>13</v>
      </c>
      <c r="M250" s="22" t="s">
        <v>13</v>
      </c>
      <c r="N250" s="22" t="s">
        <v>600</v>
      </c>
      <c r="O250" s="24">
        <v>46240</v>
      </c>
      <c r="P250" s="24">
        <v>46246</v>
      </c>
      <c r="Q250" s="21" t="s">
        <v>652</v>
      </c>
      <c r="R250" s="24">
        <v>46240</v>
      </c>
    </row>
    <row r="251" spans="1:18" x14ac:dyDescent="0.35">
      <c r="A251" s="37">
        <v>12028</v>
      </c>
      <c r="B251" s="21" t="str">
        <f>"MINEIRA DIGITAL  E EVENTOS  LTDA"</f>
        <v>MINEIRA DIGITAL  E EVENTOS  LTDA</v>
      </c>
      <c r="C251" s="31">
        <v>46301</v>
      </c>
      <c r="D251" s="31" t="s">
        <v>214</v>
      </c>
      <c r="E251" s="41">
        <v>100000</v>
      </c>
      <c r="F251" s="41">
        <v>100000</v>
      </c>
      <c r="G251" s="41">
        <v>0</v>
      </c>
      <c r="H251" s="21"/>
      <c r="I251" s="22" t="s">
        <v>428</v>
      </c>
      <c r="J251" s="23" t="s">
        <v>428</v>
      </c>
      <c r="K251" s="22" t="s">
        <v>13</v>
      </c>
      <c r="L251" s="22" t="s">
        <v>13</v>
      </c>
      <c r="M251" s="22" t="s">
        <v>428</v>
      </c>
      <c r="N251" s="22" t="s">
        <v>13</v>
      </c>
      <c r="O251" s="24">
        <v>46301</v>
      </c>
      <c r="P251" s="24" t="s">
        <v>214</v>
      </c>
      <c r="Q251" s="21" t="s">
        <v>652</v>
      </c>
      <c r="R251" s="24">
        <v>46301</v>
      </c>
    </row>
    <row r="252" spans="1:18" x14ac:dyDescent="0.35">
      <c r="A252" s="37">
        <v>12029</v>
      </c>
      <c r="B252" s="21" t="str">
        <f>"FUNDO DE APOIO A ESTRUTURACAO FEP CAIXA"</f>
        <v>FUNDO DE APOIO A ESTRUTURACAO FEP CAIXA</v>
      </c>
      <c r="C252" s="31" t="s">
        <v>604</v>
      </c>
      <c r="D252" s="31" t="s">
        <v>605</v>
      </c>
      <c r="E252" s="41">
        <v>24139245.440000001</v>
      </c>
      <c r="F252" s="41">
        <v>362656.94</v>
      </c>
      <c r="G252" s="41">
        <v>23776588.5</v>
      </c>
      <c r="H252" s="21"/>
      <c r="I252" s="22" t="s">
        <v>601</v>
      </c>
      <c r="J252" s="23" t="s">
        <v>602</v>
      </c>
      <c r="K252" s="22" t="s">
        <v>603</v>
      </c>
      <c r="L252" s="22" t="s">
        <v>13</v>
      </c>
      <c r="M252" s="22" t="s">
        <v>602</v>
      </c>
      <c r="N252" s="22" t="s">
        <v>603</v>
      </c>
      <c r="O252" s="24" t="s">
        <v>604</v>
      </c>
      <c r="P252" s="24" t="s">
        <v>605</v>
      </c>
      <c r="Q252" s="21" t="s">
        <v>652</v>
      </c>
      <c r="R252" s="24" t="s">
        <v>604</v>
      </c>
    </row>
    <row r="253" spans="1:18" x14ac:dyDescent="0.35">
      <c r="A253" s="37">
        <v>12030</v>
      </c>
      <c r="B253" s="21" t="str">
        <f>"FEDERACAO DAS CAMARAS DOS DIRIGENTES LOGISTAS DO ESTADO DE MINAS GERAIS"</f>
        <v>FEDERACAO DAS CAMARAS DOS DIRIGENTES LOGISTAS DO ESTADO DE MINAS GERAIS</v>
      </c>
      <c r="C253" s="31">
        <v>46271</v>
      </c>
      <c r="D253" s="31" t="s">
        <v>606</v>
      </c>
      <c r="E253" s="41">
        <v>50000</v>
      </c>
      <c r="F253" s="41">
        <v>50000</v>
      </c>
      <c r="G253" s="41">
        <v>0</v>
      </c>
      <c r="H253" s="21"/>
      <c r="I253" s="22" t="s">
        <v>241</v>
      </c>
      <c r="J253" s="23" t="s">
        <v>241</v>
      </c>
      <c r="K253" s="22" t="s">
        <v>13</v>
      </c>
      <c r="L253" s="22" t="s">
        <v>13</v>
      </c>
      <c r="M253" s="22" t="s">
        <v>241</v>
      </c>
      <c r="N253" s="22" t="s">
        <v>13</v>
      </c>
      <c r="O253" s="24">
        <v>46271</v>
      </c>
      <c r="P253" s="24" t="s">
        <v>606</v>
      </c>
      <c r="Q253" s="21" t="s">
        <v>652</v>
      </c>
      <c r="R253" s="24">
        <v>46271</v>
      </c>
    </row>
    <row r="254" spans="1:18" x14ac:dyDescent="0.35">
      <c r="A254" s="37">
        <v>12031</v>
      </c>
      <c r="B254" s="21" t="str">
        <f>"ASSOCIACAO DOS CONDOMINIOS DE LAGOA SANTA"</f>
        <v>ASSOCIACAO DOS CONDOMINIOS DE LAGOA SANTA</v>
      </c>
      <c r="C254" s="31">
        <v>46301</v>
      </c>
      <c r="D254" s="31" t="s">
        <v>214</v>
      </c>
      <c r="E254" s="41">
        <v>50000</v>
      </c>
      <c r="F254" s="41">
        <v>50000</v>
      </c>
      <c r="G254" s="41">
        <v>0</v>
      </c>
      <c r="H254" s="21"/>
      <c r="I254" s="22" t="s">
        <v>241</v>
      </c>
      <c r="J254" s="23" t="s">
        <v>241</v>
      </c>
      <c r="K254" s="22" t="s">
        <v>13</v>
      </c>
      <c r="L254" s="22" t="s">
        <v>13</v>
      </c>
      <c r="M254" s="22" t="s">
        <v>241</v>
      </c>
      <c r="N254" s="22" t="s">
        <v>13</v>
      </c>
      <c r="O254" s="24">
        <v>46301</v>
      </c>
      <c r="P254" s="24" t="s">
        <v>214</v>
      </c>
      <c r="Q254" s="21" t="s">
        <v>652</v>
      </c>
      <c r="R254" s="24">
        <v>46301</v>
      </c>
    </row>
    <row r="255" spans="1:18" x14ac:dyDescent="0.35">
      <c r="A255" s="37">
        <v>12032</v>
      </c>
      <c r="B255" s="21" t="str">
        <f>"ASSOCIACAO PROCULTURA E PROMOCAO DAS ARTES"</f>
        <v>ASSOCIACAO PROCULTURA E PROMOCAO DAS ARTES</v>
      </c>
      <c r="C255" s="31" t="s">
        <v>608</v>
      </c>
      <c r="D255" s="31" t="s">
        <v>609</v>
      </c>
      <c r="E255" s="41">
        <v>96000</v>
      </c>
      <c r="F255" s="41">
        <v>0</v>
      </c>
      <c r="G255" s="41">
        <v>96000</v>
      </c>
      <c r="H255" s="21"/>
      <c r="I255" s="22" t="s">
        <v>607</v>
      </c>
      <c r="J255" s="23" t="s">
        <v>16</v>
      </c>
      <c r="K255" s="22" t="s">
        <v>607</v>
      </c>
      <c r="L255" s="22" t="s">
        <v>13</v>
      </c>
      <c r="M255" s="22" t="s">
        <v>13</v>
      </c>
      <c r="N255" s="22" t="s">
        <v>607</v>
      </c>
      <c r="O255" s="24" t="s">
        <v>608</v>
      </c>
      <c r="P255" s="24" t="s">
        <v>609</v>
      </c>
      <c r="Q255" s="21" t="s">
        <v>652</v>
      </c>
      <c r="R255" s="24" t="s">
        <v>608</v>
      </c>
    </row>
    <row r="256" spans="1:18" x14ac:dyDescent="0.35">
      <c r="A256" s="37">
        <v>12034</v>
      </c>
      <c r="B256" s="21" t="str">
        <f>"INSTITUTO DE FORMACAO DE LIDERES DE BHTE"</f>
        <v>INSTITUTO DE FORMACAO DE LIDERES DE BHTE</v>
      </c>
      <c r="C256" s="31" t="s">
        <v>608</v>
      </c>
      <c r="D256" s="31" t="s">
        <v>515</v>
      </c>
      <c r="E256" s="41">
        <v>120000</v>
      </c>
      <c r="F256" s="41">
        <v>0</v>
      </c>
      <c r="G256" s="41">
        <v>120000</v>
      </c>
      <c r="H256" s="21"/>
      <c r="I256" s="22" t="s">
        <v>550</v>
      </c>
      <c r="J256" s="23" t="s">
        <v>16</v>
      </c>
      <c r="K256" s="22" t="s">
        <v>550</v>
      </c>
      <c r="L256" s="22" t="s">
        <v>13</v>
      </c>
      <c r="M256" s="22" t="s">
        <v>13</v>
      </c>
      <c r="N256" s="22" t="s">
        <v>550</v>
      </c>
      <c r="O256" s="24" t="s">
        <v>608</v>
      </c>
      <c r="P256" s="24" t="s">
        <v>515</v>
      </c>
      <c r="Q256" s="21" t="s">
        <v>652</v>
      </c>
      <c r="R256" s="24" t="s">
        <v>608</v>
      </c>
    </row>
    <row r="257" spans="1:18" x14ac:dyDescent="0.35">
      <c r="A257" s="37">
        <v>12036</v>
      </c>
      <c r="B257" s="21" t="str">
        <f>"VILA BRASIL TURISMO EVENTOS E BUFFET LTDA"</f>
        <v>VILA BRASIL TURISMO EVENTOS E BUFFET LTDA</v>
      </c>
      <c r="C257" s="31" t="s">
        <v>611</v>
      </c>
      <c r="D257" s="31" t="s">
        <v>515</v>
      </c>
      <c r="E257" s="41">
        <v>80000</v>
      </c>
      <c r="F257" s="41">
        <v>0</v>
      </c>
      <c r="G257" s="41">
        <v>80000</v>
      </c>
      <c r="H257" s="21"/>
      <c r="I257" s="22" t="s">
        <v>610</v>
      </c>
      <c r="J257" s="23" t="s">
        <v>16</v>
      </c>
      <c r="K257" s="22" t="s">
        <v>610</v>
      </c>
      <c r="L257" s="22" t="s">
        <v>13</v>
      </c>
      <c r="M257" s="22" t="s">
        <v>13</v>
      </c>
      <c r="N257" s="22" t="s">
        <v>610</v>
      </c>
      <c r="O257" s="24" t="s">
        <v>611</v>
      </c>
      <c r="P257" s="24" t="s">
        <v>515</v>
      </c>
      <c r="Q257" s="21" t="s">
        <v>652</v>
      </c>
      <c r="R257" s="24" t="s">
        <v>611</v>
      </c>
    </row>
    <row r="258" spans="1:18" x14ac:dyDescent="0.35">
      <c r="A258" s="37">
        <v>12037</v>
      </c>
      <c r="B258" s="21" t="str">
        <f>"ASSOCIACAO DE MUSICOS E ARTISTAS DE SAO THOME DAS LETRAS"</f>
        <v>ASSOCIACAO DE MUSICOS E ARTISTAS DE SAO THOME DAS LETRAS</v>
      </c>
      <c r="C258" s="31" t="s">
        <v>608</v>
      </c>
      <c r="D258" s="31" t="s">
        <v>310</v>
      </c>
      <c r="E258" s="41">
        <v>100000</v>
      </c>
      <c r="F258" s="41">
        <v>78570</v>
      </c>
      <c r="G258" s="41">
        <v>21430</v>
      </c>
      <c r="H258" s="21"/>
      <c r="I258" s="22" t="s">
        <v>428</v>
      </c>
      <c r="J258" s="23" t="s">
        <v>612</v>
      </c>
      <c r="K258" s="22" t="s">
        <v>613</v>
      </c>
      <c r="L258" s="22" t="s">
        <v>13</v>
      </c>
      <c r="M258" s="22" t="s">
        <v>612</v>
      </c>
      <c r="N258" s="22" t="s">
        <v>613</v>
      </c>
      <c r="O258" s="24" t="s">
        <v>608</v>
      </c>
      <c r="P258" s="24" t="s">
        <v>310</v>
      </c>
      <c r="Q258" s="21" t="s">
        <v>652</v>
      </c>
      <c r="R258" s="24" t="s">
        <v>608</v>
      </c>
    </row>
    <row r="259" spans="1:18" x14ac:dyDescent="0.35">
      <c r="A259" s="37">
        <v>12038</v>
      </c>
      <c r="B259" s="21" t="str">
        <f>"SOCIEDADE RURAL DE MONTES CLAROS"</f>
        <v>SOCIEDADE RURAL DE MONTES CLAROS</v>
      </c>
      <c r="C259" s="31" t="s">
        <v>614</v>
      </c>
      <c r="D259" s="31">
        <v>46508</v>
      </c>
      <c r="E259" s="41">
        <v>100000</v>
      </c>
      <c r="F259" s="41">
        <v>0</v>
      </c>
      <c r="G259" s="41">
        <v>100000</v>
      </c>
      <c r="H259" s="21"/>
      <c r="I259" s="22" t="s">
        <v>428</v>
      </c>
      <c r="J259" s="23" t="s">
        <v>16</v>
      </c>
      <c r="K259" s="22" t="s">
        <v>428</v>
      </c>
      <c r="L259" s="22" t="s">
        <v>13</v>
      </c>
      <c r="M259" s="22" t="s">
        <v>13</v>
      </c>
      <c r="N259" s="22" t="s">
        <v>428</v>
      </c>
      <c r="O259" s="24" t="s">
        <v>614</v>
      </c>
      <c r="P259" s="24">
        <v>46508</v>
      </c>
      <c r="Q259" s="21" t="s">
        <v>652</v>
      </c>
      <c r="R259" s="24" t="s">
        <v>614</v>
      </c>
    </row>
    <row r="260" spans="1:18" x14ac:dyDescent="0.35">
      <c r="A260" s="37">
        <v>12039</v>
      </c>
      <c r="B260" s="21" t="str">
        <f>"SAD CONSULTORIA LTDA"</f>
        <v>SAD CONSULTORIA LTDA</v>
      </c>
      <c r="C260" s="31" t="s">
        <v>618</v>
      </c>
      <c r="D260" s="31" t="s">
        <v>619</v>
      </c>
      <c r="E260" s="41">
        <v>170700</v>
      </c>
      <c r="F260" s="41">
        <v>56900</v>
      </c>
      <c r="G260" s="41">
        <v>113800</v>
      </c>
      <c r="H260" s="21"/>
      <c r="I260" s="22" t="s">
        <v>615</v>
      </c>
      <c r="J260" s="23" t="s">
        <v>616</v>
      </c>
      <c r="K260" s="22" t="s">
        <v>617</v>
      </c>
      <c r="L260" s="22" t="s">
        <v>13</v>
      </c>
      <c r="M260" s="22" t="s">
        <v>616</v>
      </c>
      <c r="N260" s="22" t="s">
        <v>617</v>
      </c>
      <c r="O260" s="24" t="s">
        <v>618</v>
      </c>
      <c r="P260" s="24" t="s">
        <v>619</v>
      </c>
      <c r="Q260" s="21" t="s">
        <v>652</v>
      </c>
      <c r="R260" s="24" t="s">
        <v>618</v>
      </c>
    </row>
    <row r="261" spans="1:18" x14ac:dyDescent="0.35">
      <c r="A261" s="37">
        <v>12040</v>
      </c>
      <c r="B261" s="21" t="str">
        <f>"IOB INFORMACOES OBJ E PUBLIC JURID LTDA"</f>
        <v>IOB INFORMACOES OBJ E PUBLIC JURID LTDA</v>
      </c>
      <c r="C261" s="31">
        <v>46210</v>
      </c>
      <c r="D261" s="31">
        <v>46575</v>
      </c>
      <c r="E261" s="41">
        <v>14760</v>
      </c>
      <c r="F261" s="41">
        <v>14760</v>
      </c>
      <c r="G261" s="41">
        <v>0</v>
      </c>
      <c r="H261" s="21"/>
      <c r="I261" s="22" t="s">
        <v>620</v>
      </c>
      <c r="J261" s="23" t="s">
        <v>620</v>
      </c>
      <c r="K261" s="22" t="s">
        <v>13</v>
      </c>
      <c r="L261" s="22" t="s">
        <v>13</v>
      </c>
      <c r="M261" s="22" t="s">
        <v>620</v>
      </c>
      <c r="N261" s="22" t="s">
        <v>13</v>
      </c>
      <c r="O261" s="24">
        <v>46210</v>
      </c>
      <c r="P261" s="24">
        <v>46575</v>
      </c>
      <c r="Q261" s="21" t="s">
        <v>652</v>
      </c>
      <c r="R261" s="24">
        <v>46210</v>
      </c>
    </row>
    <row r="262" spans="1:18" x14ac:dyDescent="0.35">
      <c r="A262" s="37">
        <v>12042</v>
      </c>
      <c r="B262" s="21" t="str">
        <f>"UNIVERSIDADE FEDERAL DE SAO JOAO DEL REI"</f>
        <v>UNIVERSIDADE FEDERAL DE SAO JOAO DEL REI</v>
      </c>
      <c r="C262" s="31" t="s">
        <v>622</v>
      </c>
      <c r="D262" s="31" t="s">
        <v>623</v>
      </c>
      <c r="E262" s="41">
        <v>54138000</v>
      </c>
      <c r="F262" s="41">
        <v>0</v>
      </c>
      <c r="G262" s="41">
        <v>54138000</v>
      </c>
      <c r="H262" s="21"/>
      <c r="I262" s="22" t="s">
        <v>621</v>
      </c>
      <c r="J262" s="23" t="s">
        <v>16</v>
      </c>
      <c r="K262" s="22" t="s">
        <v>621</v>
      </c>
      <c r="L262" s="22" t="s">
        <v>13</v>
      </c>
      <c r="M262" s="22" t="s">
        <v>13</v>
      </c>
      <c r="N262" s="22" t="s">
        <v>621</v>
      </c>
      <c r="O262" s="24" t="s">
        <v>622</v>
      </c>
      <c r="P262" s="24" t="s">
        <v>623</v>
      </c>
      <c r="Q262" s="21" t="s">
        <v>652</v>
      </c>
      <c r="R262" s="24" t="s">
        <v>622</v>
      </c>
    </row>
    <row r="263" spans="1:18" x14ac:dyDescent="0.35">
      <c r="A263" s="37">
        <v>12043</v>
      </c>
      <c r="B263" s="21" t="str">
        <f>"MUNICIPIO DE HELIODORA"</f>
        <v>MUNICIPIO DE HELIODORA</v>
      </c>
      <c r="C263" s="31" t="s">
        <v>624</v>
      </c>
      <c r="D263" s="31" t="s">
        <v>220</v>
      </c>
      <c r="E263" s="41">
        <v>80000</v>
      </c>
      <c r="F263" s="41">
        <v>80000</v>
      </c>
      <c r="G263" s="41">
        <v>0</v>
      </c>
      <c r="H263" s="21"/>
      <c r="I263" s="22" t="s">
        <v>610</v>
      </c>
      <c r="J263" s="23" t="s">
        <v>610</v>
      </c>
      <c r="K263" s="22" t="s">
        <v>13</v>
      </c>
      <c r="L263" s="22" t="s">
        <v>13</v>
      </c>
      <c r="M263" s="22" t="s">
        <v>610</v>
      </c>
      <c r="N263" s="22" t="s">
        <v>13</v>
      </c>
      <c r="O263" s="24" t="s">
        <v>624</v>
      </c>
      <c r="P263" s="24" t="s">
        <v>220</v>
      </c>
      <c r="Q263" s="21" t="s">
        <v>652</v>
      </c>
      <c r="R263" s="24" t="s">
        <v>624</v>
      </c>
    </row>
    <row r="264" spans="1:18" x14ac:dyDescent="0.35">
      <c r="A264" s="37">
        <v>12046</v>
      </c>
      <c r="B264" s="21" t="str">
        <f>"PREFEITURA MUNICIPAL DE JUIZ DE FORA"</f>
        <v>PREFEITURA MUNICIPAL DE JUIZ DE FORA</v>
      </c>
      <c r="C264" s="31" t="s">
        <v>624</v>
      </c>
      <c r="D264" s="31" t="s">
        <v>376</v>
      </c>
      <c r="E264" s="41">
        <v>14000000</v>
      </c>
      <c r="F264" s="41">
        <v>850000</v>
      </c>
      <c r="G264" s="41">
        <v>13150000</v>
      </c>
      <c r="H264" s="21"/>
      <c r="I264" s="22" t="s">
        <v>625</v>
      </c>
      <c r="J264" s="23" t="s">
        <v>105</v>
      </c>
      <c r="K264" s="22" t="s">
        <v>626</v>
      </c>
      <c r="L264" s="22" t="s">
        <v>13</v>
      </c>
      <c r="M264" s="22" t="s">
        <v>105</v>
      </c>
      <c r="N264" s="22" t="s">
        <v>626</v>
      </c>
      <c r="O264" s="24" t="s">
        <v>624</v>
      </c>
      <c r="P264" s="24" t="s">
        <v>376</v>
      </c>
      <c r="Q264" s="21" t="s">
        <v>652</v>
      </c>
      <c r="R264" s="24" t="s">
        <v>624</v>
      </c>
    </row>
    <row r="265" spans="1:18" x14ac:dyDescent="0.35">
      <c r="A265" s="37">
        <v>12047</v>
      </c>
      <c r="B265" s="21" t="str">
        <f>"COOPERATIVA DE RADIO COMUNICACAO DE  BELO  HORIZONTE"</f>
        <v>COOPERATIVA DE RADIO COMUNICACAO DE  BELO  HORIZONTE</v>
      </c>
      <c r="C265" s="31">
        <v>46088</v>
      </c>
      <c r="D265" s="31">
        <v>47886</v>
      </c>
      <c r="E265" s="41">
        <v>271454.32</v>
      </c>
      <c r="F265" s="41">
        <v>0</v>
      </c>
      <c r="G265" s="41">
        <v>271454.32</v>
      </c>
      <c r="H265" s="21"/>
      <c r="I265" s="22" t="s">
        <v>627</v>
      </c>
      <c r="J265" s="23" t="s">
        <v>16</v>
      </c>
      <c r="K265" s="22" t="s">
        <v>627</v>
      </c>
      <c r="L265" s="22" t="s">
        <v>13</v>
      </c>
      <c r="M265" s="22" t="s">
        <v>13</v>
      </c>
      <c r="N265" s="22" t="s">
        <v>627</v>
      </c>
      <c r="O265" s="24">
        <v>46088</v>
      </c>
      <c r="P265" s="24">
        <v>47886</v>
      </c>
      <c r="Q265" s="21" t="s">
        <v>652</v>
      </c>
      <c r="R265" s="24">
        <v>46088</v>
      </c>
    </row>
    <row r="266" spans="1:18" x14ac:dyDescent="0.35">
      <c r="A266" s="37">
        <v>12048</v>
      </c>
      <c r="B266" s="21" t="str">
        <f>"E AUDITORIA SOFTWARES COMO SERVICO LTDA"</f>
        <v>E AUDITORIA SOFTWARES COMO SERVICO LTDA</v>
      </c>
      <c r="C266" s="31" t="s">
        <v>624</v>
      </c>
      <c r="D266" s="31" t="s">
        <v>629</v>
      </c>
      <c r="E266" s="41">
        <v>11880</v>
      </c>
      <c r="F266" s="41">
        <v>11880</v>
      </c>
      <c r="G266" s="41">
        <v>0</v>
      </c>
      <c r="H266" s="21"/>
      <c r="I266" s="22" t="s">
        <v>628</v>
      </c>
      <c r="J266" s="23" t="s">
        <v>628</v>
      </c>
      <c r="K266" s="22" t="s">
        <v>13</v>
      </c>
      <c r="L266" s="22" t="s">
        <v>13</v>
      </c>
      <c r="M266" s="22" t="s">
        <v>628</v>
      </c>
      <c r="N266" s="22" t="s">
        <v>13</v>
      </c>
      <c r="O266" s="24" t="s">
        <v>624</v>
      </c>
      <c r="P266" s="24" t="s">
        <v>629</v>
      </c>
      <c r="Q266" s="21" t="s">
        <v>652</v>
      </c>
      <c r="R266" s="24" t="s">
        <v>624</v>
      </c>
    </row>
    <row r="267" spans="1:18" x14ac:dyDescent="0.35">
      <c r="A267" s="37">
        <v>12049</v>
      </c>
      <c r="B267" s="21" t="str">
        <f>"RICCI DIARIOS PUBLICIDADE E AGENCIAMENTO"</f>
        <v>RICCI DIARIOS PUBLICIDADE E AGENCIAMENTO</v>
      </c>
      <c r="C267" s="31" t="s">
        <v>624</v>
      </c>
      <c r="D267" s="31" t="s">
        <v>633</v>
      </c>
      <c r="E267" s="41">
        <v>3070100</v>
      </c>
      <c r="F267" s="41">
        <v>15840</v>
      </c>
      <c r="G267" s="41">
        <v>3054260</v>
      </c>
      <c r="H267" s="21"/>
      <c r="I267" s="22" t="s">
        <v>630</v>
      </c>
      <c r="J267" s="23" t="s">
        <v>631</v>
      </c>
      <c r="K267" s="22" t="s">
        <v>632</v>
      </c>
      <c r="L267" s="22" t="s">
        <v>13</v>
      </c>
      <c r="M267" s="22" t="s">
        <v>631</v>
      </c>
      <c r="N267" s="22" t="s">
        <v>632</v>
      </c>
      <c r="O267" s="24" t="s">
        <v>624</v>
      </c>
      <c r="P267" s="24" t="s">
        <v>633</v>
      </c>
      <c r="Q267" s="21" t="s">
        <v>652</v>
      </c>
      <c r="R267" s="24" t="s">
        <v>624</v>
      </c>
    </row>
    <row r="268" spans="1:18" x14ac:dyDescent="0.35">
      <c r="A268" s="37">
        <v>12053</v>
      </c>
      <c r="B268" s="21" t="str">
        <f>"AGENCIA DE INTEGRACAO EMPRESA ESCOLA LTDA"</f>
        <v>AGENCIA DE INTEGRACAO EMPRESA ESCOLA LTDA</v>
      </c>
      <c r="C268" s="31">
        <v>46180</v>
      </c>
      <c r="D268" s="31" t="s">
        <v>635</v>
      </c>
      <c r="E268" s="41">
        <v>52080</v>
      </c>
      <c r="F268" s="41">
        <v>1680</v>
      </c>
      <c r="G268" s="41">
        <v>50400</v>
      </c>
      <c r="H268" s="21"/>
      <c r="I268" s="22" t="s">
        <v>634</v>
      </c>
      <c r="J268" s="23" t="s">
        <v>852</v>
      </c>
      <c r="K268" s="22" t="s">
        <v>853</v>
      </c>
      <c r="L268" s="22" t="s">
        <v>13</v>
      </c>
      <c r="M268" s="22" t="s">
        <v>852</v>
      </c>
      <c r="N268" s="22" t="s">
        <v>853</v>
      </c>
      <c r="O268" s="24">
        <v>46180</v>
      </c>
      <c r="P268" s="24" t="s">
        <v>635</v>
      </c>
      <c r="Q268" s="21" t="s">
        <v>652</v>
      </c>
      <c r="R268" s="24">
        <v>46180</v>
      </c>
    </row>
    <row r="269" spans="1:18" x14ac:dyDescent="0.35">
      <c r="A269" s="37">
        <v>12054</v>
      </c>
      <c r="B269" s="21" t="str">
        <f>"UNIAO CONSULTORIA EXECUCAO DE PROJETOS DE GESTAO SS"</f>
        <v>UNIAO CONSULTORIA EXECUCAO DE PROJETOS DE GESTAO SS</v>
      </c>
      <c r="C269" s="31">
        <v>46272</v>
      </c>
      <c r="D269" s="31">
        <v>46601</v>
      </c>
      <c r="E269" s="41">
        <v>270500</v>
      </c>
      <c r="F269" s="41">
        <v>54100</v>
      </c>
      <c r="G269" s="41">
        <v>216400</v>
      </c>
      <c r="H269" s="21"/>
      <c r="I269" s="22" t="s">
        <v>636</v>
      </c>
      <c r="J269" s="23" t="s">
        <v>854</v>
      </c>
      <c r="K269" s="22" t="s">
        <v>855</v>
      </c>
      <c r="L269" s="22" t="s">
        <v>13</v>
      </c>
      <c r="M269" s="22" t="s">
        <v>854</v>
      </c>
      <c r="N269" s="22" t="s">
        <v>855</v>
      </c>
      <c r="O269" s="24">
        <v>46272</v>
      </c>
      <c r="P269" s="24">
        <v>46601</v>
      </c>
      <c r="Q269" s="21" t="s">
        <v>652</v>
      </c>
      <c r="R269" s="24">
        <v>46272</v>
      </c>
    </row>
    <row r="270" spans="1:18" x14ac:dyDescent="0.35">
      <c r="A270" s="37">
        <v>12055</v>
      </c>
      <c r="B270" s="21" t="str">
        <f>"INSTITUTO BRASILEIRO DE GOVERNANCA CORPORATIVA"</f>
        <v>INSTITUTO BRASILEIRO DE GOVERNANCA CORPORATIVA</v>
      </c>
      <c r="C270" s="31" t="s">
        <v>637</v>
      </c>
      <c r="D270" s="31" t="s">
        <v>638</v>
      </c>
      <c r="E270" s="41">
        <v>56900</v>
      </c>
      <c r="F270" s="41">
        <v>0</v>
      </c>
      <c r="G270" s="41">
        <v>56900</v>
      </c>
      <c r="H270" s="21"/>
      <c r="I270" s="22" t="s">
        <v>616</v>
      </c>
      <c r="J270" s="23" t="s">
        <v>16</v>
      </c>
      <c r="K270" s="22" t="s">
        <v>616</v>
      </c>
      <c r="L270" s="22" t="s">
        <v>13</v>
      </c>
      <c r="M270" s="22" t="s">
        <v>13</v>
      </c>
      <c r="N270" s="22" t="s">
        <v>616</v>
      </c>
      <c r="O270" s="24" t="s">
        <v>637</v>
      </c>
      <c r="P270" s="24" t="s">
        <v>638</v>
      </c>
      <c r="Q270" s="21" t="s">
        <v>652</v>
      </c>
      <c r="R270" s="24" t="s">
        <v>637</v>
      </c>
    </row>
    <row r="271" spans="1:18" x14ac:dyDescent="0.35">
      <c r="A271" s="37">
        <v>12056</v>
      </c>
      <c r="B271" s="21" t="str">
        <f>"TECNETWORKING SERVICOS E SOLUCOES EM TI LTDA"</f>
        <v>TECNETWORKING SERVICOS E SOLUCOES EM TI LTDA</v>
      </c>
      <c r="C271" s="31" t="s">
        <v>640</v>
      </c>
      <c r="D271" s="31" t="s">
        <v>641</v>
      </c>
      <c r="E271" s="41">
        <v>518525</v>
      </c>
      <c r="F271" s="41">
        <v>0</v>
      </c>
      <c r="G271" s="41">
        <v>518525</v>
      </c>
      <c r="H271" s="21"/>
      <c r="I271" s="22" t="s">
        <v>639</v>
      </c>
      <c r="J271" s="23" t="s">
        <v>16</v>
      </c>
      <c r="K271" s="22" t="s">
        <v>639</v>
      </c>
      <c r="L271" s="22" t="s">
        <v>13</v>
      </c>
      <c r="M271" s="22" t="s">
        <v>13</v>
      </c>
      <c r="N271" s="22" t="s">
        <v>639</v>
      </c>
      <c r="O271" s="24" t="s">
        <v>640</v>
      </c>
      <c r="P271" s="24" t="s">
        <v>641</v>
      </c>
      <c r="Q271" s="21" t="s">
        <v>652</v>
      </c>
      <c r="R271" s="24" t="s">
        <v>640</v>
      </c>
    </row>
    <row r="272" spans="1:18" x14ac:dyDescent="0.35">
      <c r="A272" s="37">
        <v>12057</v>
      </c>
      <c r="B272" s="21" t="str">
        <f>"SECRETARIA DE ESTADO DE GOVERNO"</f>
        <v>SECRETARIA DE ESTADO DE GOVERNO</v>
      </c>
      <c r="C272" s="31" t="s">
        <v>533</v>
      </c>
      <c r="D272" s="31" t="s">
        <v>857</v>
      </c>
      <c r="E272" s="41">
        <v>348140.79999999999</v>
      </c>
      <c r="F272" s="41">
        <v>0</v>
      </c>
      <c r="G272" s="41">
        <v>348140.79999999999</v>
      </c>
      <c r="H272" s="21"/>
      <c r="I272" s="22" t="s">
        <v>856</v>
      </c>
      <c r="J272" s="23" t="s">
        <v>16</v>
      </c>
      <c r="K272" s="22" t="s">
        <v>856</v>
      </c>
      <c r="L272" s="22" t="s">
        <v>13</v>
      </c>
      <c r="M272" s="22" t="s">
        <v>13</v>
      </c>
      <c r="N272" s="22" t="s">
        <v>856</v>
      </c>
      <c r="O272" s="24" t="s">
        <v>533</v>
      </c>
      <c r="P272" s="24" t="s">
        <v>857</v>
      </c>
      <c r="Q272" s="21" t="s">
        <v>652</v>
      </c>
      <c r="R272" s="24" t="s">
        <v>533</v>
      </c>
    </row>
    <row r="273" spans="1:18" x14ac:dyDescent="0.35">
      <c r="A273" s="37">
        <v>12058</v>
      </c>
      <c r="B273" s="21" t="str">
        <f>"DEALLINK SERVICOS DE APOIO ADMINISTRATIVO LTDA"</f>
        <v>DEALLINK SERVICOS DE APOIO ADMINISTRATIVO LTDA</v>
      </c>
      <c r="C273" s="31" t="s">
        <v>637</v>
      </c>
      <c r="D273" s="31" t="s">
        <v>643</v>
      </c>
      <c r="E273" s="41">
        <v>170000</v>
      </c>
      <c r="F273" s="41">
        <v>0</v>
      </c>
      <c r="G273" s="41">
        <v>170000</v>
      </c>
      <c r="H273" s="21"/>
      <c r="I273" s="22" t="s">
        <v>642</v>
      </c>
      <c r="J273" s="23" t="s">
        <v>16</v>
      </c>
      <c r="K273" s="22" t="s">
        <v>642</v>
      </c>
      <c r="L273" s="22" t="s">
        <v>13</v>
      </c>
      <c r="M273" s="22" t="s">
        <v>13</v>
      </c>
      <c r="N273" s="22" t="s">
        <v>642</v>
      </c>
      <c r="O273" s="24" t="s">
        <v>637</v>
      </c>
      <c r="P273" s="24" t="s">
        <v>643</v>
      </c>
      <c r="Q273" s="21" t="s">
        <v>652</v>
      </c>
      <c r="R273" s="24" t="s">
        <v>637</v>
      </c>
    </row>
    <row r="274" spans="1:18" x14ac:dyDescent="0.35">
      <c r="A274" s="37">
        <v>12059</v>
      </c>
      <c r="B274" s="21" t="str">
        <f>"CONSTRUTORA ATRATIVA LTDA"</f>
        <v>CONSTRUTORA ATRATIVA LTDA</v>
      </c>
      <c r="C274" s="31" t="s">
        <v>219</v>
      </c>
      <c r="D274" s="31" t="s">
        <v>859</v>
      </c>
      <c r="E274" s="41">
        <v>2166000</v>
      </c>
      <c r="F274" s="41">
        <v>0</v>
      </c>
      <c r="G274" s="41">
        <v>2166000</v>
      </c>
      <c r="H274" s="21"/>
      <c r="I274" s="22" t="s">
        <v>858</v>
      </c>
      <c r="J274" s="23" t="s">
        <v>16</v>
      </c>
      <c r="K274" s="22" t="s">
        <v>858</v>
      </c>
      <c r="L274" s="22" t="s">
        <v>13</v>
      </c>
      <c r="M274" s="22" t="s">
        <v>13</v>
      </c>
      <c r="N274" s="22" t="s">
        <v>858</v>
      </c>
      <c r="O274" s="24" t="s">
        <v>219</v>
      </c>
      <c r="P274" s="24" t="s">
        <v>859</v>
      </c>
      <c r="Q274" s="21" t="s">
        <v>652</v>
      </c>
      <c r="R274" s="24" t="s">
        <v>219</v>
      </c>
    </row>
    <row r="275" spans="1:18" x14ac:dyDescent="0.35">
      <c r="A275" s="37">
        <v>12060</v>
      </c>
      <c r="B275" s="21" t="str">
        <f>"MARA TRANSPORTES LTDA"</f>
        <v>MARA TRANSPORTES LTDA</v>
      </c>
      <c r="C275" s="31">
        <v>46364</v>
      </c>
      <c r="D275" s="31">
        <v>46699</v>
      </c>
      <c r="E275" s="41">
        <v>6064</v>
      </c>
      <c r="F275" s="41">
        <v>7580000</v>
      </c>
      <c r="G275" s="41">
        <v>5306</v>
      </c>
      <c r="H275" s="21"/>
      <c r="I275" s="22" t="s">
        <v>860</v>
      </c>
      <c r="J275" s="23">
        <v>7580000</v>
      </c>
      <c r="K275" s="22" t="s">
        <v>861</v>
      </c>
      <c r="L275" s="22" t="s">
        <v>13</v>
      </c>
      <c r="M275" s="22">
        <v>7580000</v>
      </c>
      <c r="N275" s="22" t="s">
        <v>861</v>
      </c>
      <c r="O275" s="24">
        <v>46364</v>
      </c>
      <c r="P275" s="24">
        <v>46699</v>
      </c>
      <c r="Q275" s="21" t="s">
        <v>652</v>
      </c>
      <c r="R275" s="24">
        <v>46364</v>
      </c>
    </row>
    <row r="276" spans="1:18" x14ac:dyDescent="0.35">
      <c r="A276" s="37">
        <v>12061</v>
      </c>
      <c r="B276" s="21" t="str">
        <f>"BRASIL MINAS  PROJETOS E ENGENHARIA  LTDA"</f>
        <v>BRASIL MINAS  PROJETOS E ENGENHARIA  LTDA</v>
      </c>
      <c r="C276" s="31" t="s">
        <v>42</v>
      </c>
      <c r="D276" s="31" t="s">
        <v>645</v>
      </c>
      <c r="E276" s="41">
        <v>12998</v>
      </c>
      <c r="F276" s="41">
        <v>0</v>
      </c>
      <c r="G276" s="41">
        <v>12998</v>
      </c>
      <c r="H276" s="21"/>
      <c r="I276" s="22" t="s">
        <v>644</v>
      </c>
      <c r="J276" s="23" t="s">
        <v>16</v>
      </c>
      <c r="K276" s="22" t="s">
        <v>644</v>
      </c>
      <c r="L276" s="22" t="s">
        <v>13</v>
      </c>
      <c r="M276" s="22" t="s">
        <v>13</v>
      </c>
      <c r="N276" s="22" t="s">
        <v>644</v>
      </c>
      <c r="O276" s="24" t="s">
        <v>42</v>
      </c>
      <c r="P276" s="24" t="s">
        <v>645</v>
      </c>
      <c r="Q276" s="21" t="s">
        <v>652</v>
      </c>
      <c r="R276" s="24" t="s">
        <v>42</v>
      </c>
    </row>
    <row r="277" spans="1:18" x14ac:dyDescent="0.35">
      <c r="A277" s="37">
        <v>12062</v>
      </c>
      <c r="B277" s="21" t="str">
        <f>"SPARTANVALE REPRESENTACAO COMERCIO E SERVICOS LTDA"</f>
        <v>SPARTANVALE REPRESENTACAO COMERCIO E SERVICOS LTDA</v>
      </c>
      <c r="C277" s="31">
        <v>46120</v>
      </c>
      <c r="D277" s="31">
        <v>46454</v>
      </c>
      <c r="E277" s="41">
        <v>2021.52</v>
      </c>
      <c r="F277" s="41">
        <v>5053800</v>
      </c>
      <c r="G277" s="41">
        <v>1516.14</v>
      </c>
      <c r="H277" s="21"/>
      <c r="I277" s="22" t="s">
        <v>862</v>
      </c>
      <c r="J277" s="23">
        <v>5053800</v>
      </c>
      <c r="K277" s="22" t="s">
        <v>863</v>
      </c>
      <c r="L277" s="22" t="s">
        <v>13</v>
      </c>
      <c r="M277" s="22">
        <v>5053800</v>
      </c>
      <c r="N277" s="22" t="s">
        <v>863</v>
      </c>
      <c r="O277" s="24">
        <v>46120</v>
      </c>
      <c r="P277" s="24">
        <v>46454</v>
      </c>
      <c r="Q277" s="21" t="s">
        <v>652</v>
      </c>
      <c r="R277" s="24">
        <v>46120</v>
      </c>
    </row>
    <row r="278" spans="1:18" x14ac:dyDescent="0.35">
      <c r="A278" s="37">
        <v>12063</v>
      </c>
      <c r="B278" s="21" t="str">
        <f>"SUL MINEIRA COMERCIO DE MATERIAL DE LIMPEZA LTDA"</f>
        <v>SUL MINEIRA COMERCIO DE MATERIAL DE LIMPEZA LTDA</v>
      </c>
      <c r="C278" s="31">
        <v>46150</v>
      </c>
      <c r="D278" s="31">
        <v>46485</v>
      </c>
      <c r="E278" s="41">
        <v>6672</v>
      </c>
      <c r="F278" s="41">
        <v>1668</v>
      </c>
      <c r="G278" s="41">
        <v>5004</v>
      </c>
      <c r="H278" s="21"/>
      <c r="I278" s="22" t="s">
        <v>864</v>
      </c>
      <c r="J278" s="23" t="s">
        <v>865</v>
      </c>
      <c r="K278" s="22" t="s">
        <v>866</v>
      </c>
      <c r="L278" s="22" t="s">
        <v>13</v>
      </c>
      <c r="M278" s="22" t="s">
        <v>865</v>
      </c>
      <c r="N278" s="22" t="s">
        <v>866</v>
      </c>
      <c r="O278" s="24">
        <v>46150</v>
      </c>
      <c r="P278" s="24">
        <v>46485</v>
      </c>
      <c r="Q278" s="21" t="s">
        <v>652</v>
      </c>
      <c r="R278" s="24">
        <v>46150</v>
      </c>
    </row>
    <row r="279" spans="1:18" x14ac:dyDescent="0.35">
      <c r="A279" s="37">
        <v>12064</v>
      </c>
      <c r="B279" s="21" t="str">
        <f>"IN HAUS INDUSTRIAL E SERVICOS DE LOGISTICA LTDA"</f>
        <v>IN HAUS INDUSTRIAL E SERVICOS DE LOGISTICA LTDA</v>
      </c>
      <c r="C279" s="31">
        <v>46061</v>
      </c>
      <c r="D279" s="31">
        <v>46395</v>
      </c>
      <c r="E279" s="41">
        <v>2007969.65</v>
      </c>
      <c r="F279" s="41">
        <v>0</v>
      </c>
      <c r="G279" s="41">
        <v>2007969.65</v>
      </c>
      <c r="H279" s="21"/>
      <c r="I279" s="22" t="s">
        <v>867</v>
      </c>
      <c r="J279" s="23" t="s">
        <v>16</v>
      </c>
      <c r="K279" s="22" t="s">
        <v>867</v>
      </c>
      <c r="L279" s="22" t="s">
        <v>13</v>
      </c>
      <c r="M279" s="22" t="s">
        <v>13</v>
      </c>
      <c r="N279" s="22" t="s">
        <v>867</v>
      </c>
      <c r="O279" s="24">
        <v>46061</v>
      </c>
      <c r="P279" s="24">
        <v>46395</v>
      </c>
      <c r="Q279" s="21" t="s">
        <v>652</v>
      </c>
      <c r="R279" s="24">
        <v>46061</v>
      </c>
    </row>
    <row r="280" spans="1:18" x14ac:dyDescent="0.35">
      <c r="A280" s="37">
        <v>12065</v>
      </c>
      <c r="B280" s="21" t="str">
        <f>"CONSTRUPRIME CONSTRUCOES E EMPREENDIMENTOS LTDA"</f>
        <v>CONSTRUPRIME CONSTRUCOES E EMPREENDIMENTOS LTDA</v>
      </c>
      <c r="C280" s="31">
        <v>46120</v>
      </c>
      <c r="D280" s="31">
        <v>46454</v>
      </c>
      <c r="E280" s="41">
        <v>1913136.84</v>
      </c>
      <c r="F280" s="41">
        <v>0</v>
      </c>
      <c r="G280" s="41">
        <v>1913136.84</v>
      </c>
      <c r="H280" s="21"/>
      <c r="I280" s="22" t="s">
        <v>868</v>
      </c>
      <c r="J280" s="23" t="s">
        <v>16</v>
      </c>
      <c r="K280" s="22" t="s">
        <v>868</v>
      </c>
      <c r="L280" s="22" t="s">
        <v>13</v>
      </c>
      <c r="M280" s="22" t="s">
        <v>13</v>
      </c>
      <c r="N280" s="22" t="s">
        <v>868</v>
      </c>
      <c r="O280" s="24">
        <v>46120</v>
      </c>
      <c r="P280" s="24">
        <v>46454</v>
      </c>
      <c r="Q280" s="21" t="s">
        <v>652</v>
      </c>
      <c r="R280" s="24">
        <v>46120</v>
      </c>
    </row>
    <row r="281" spans="1:18" x14ac:dyDescent="0.35">
      <c r="A281" s="37">
        <v>12066</v>
      </c>
      <c r="B281" s="21" t="str">
        <f>"CENTRAL SUPRIMENTOS LTDA  ME"</f>
        <v>CENTRAL SUPRIMENTOS LTDA  ME</v>
      </c>
      <c r="C281" s="31" t="s">
        <v>658</v>
      </c>
      <c r="D281" s="31">
        <v>46729</v>
      </c>
      <c r="E281" s="41">
        <v>2112</v>
      </c>
      <c r="F281" s="41">
        <v>7040000</v>
      </c>
      <c r="G281" s="41">
        <v>1408</v>
      </c>
      <c r="H281" s="21"/>
      <c r="I281" s="22" t="s">
        <v>869</v>
      </c>
      <c r="J281" s="23">
        <v>7040000</v>
      </c>
      <c r="K281" s="22" t="s">
        <v>870</v>
      </c>
      <c r="L281" s="22" t="s">
        <v>13</v>
      </c>
      <c r="M281" s="22">
        <v>7040000</v>
      </c>
      <c r="N281" s="22" t="s">
        <v>870</v>
      </c>
      <c r="O281" s="24" t="s">
        <v>658</v>
      </c>
      <c r="P281" s="24">
        <v>46729</v>
      </c>
      <c r="Q281" s="21" t="s">
        <v>652</v>
      </c>
      <c r="R281" s="24" t="s">
        <v>658</v>
      </c>
    </row>
    <row r="282" spans="1:18" x14ac:dyDescent="0.35">
      <c r="A282" s="37">
        <v>12067</v>
      </c>
      <c r="B282" s="21" t="str">
        <f>"CS BRASIL FROTAS SA"</f>
        <v>CS BRASIL FROTAS SA</v>
      </c>
      <c r="C282" s="31" t="s">
        <v>405</v>
      </c>
      <c r="D282" s="31" t="s">
        <v>872</v>
      </c>
      <c r="E282" s="41">
        <v>6769998.2000000002</v>
      </c>
      <c r="F282" s="41">
        <v>0</v>
      </c>
      <c r="G282" s="41">
        <v>6769998.2000000002</v>
      </c>
      <c r="H282" s="21"/>
      <c r="I282" s="22" t="s">
        <v>871</v>
      </c>
      <c r="J282" s="23" t="s">
        <v>16</v>
      </c>
      <c r="K282" s="22" t="s">
        <v>871</v>
      </c>
      <c r="L282" s="22" t="s">
        <v>13</v>
      </c>
      <c r="M282" s="22" t="s">
        <v>13</v>
      </c>
      <c r="N282" s="22" t="s">
        <v>871</v>
      </c>
      <c r="O282" s="24" t="s">
        <v>405</v>
      </c>
      <c r="P282" s="24" t="s">
        <v>872</v>
      </c>
      <c r="Q282" s="21" t="s">
        <v>652</v>
      </c>
      <c r="R282" s="24" t="s">
        <v>405</v>
      </c>
    </row>
    <row r="283" spans="1:18" x14ac:dyDescent="0.35">
      <c r="A283" s="37">
        <v>12068</v>
      </c>
      <c r="B283" s="21" t="str">
        <f>"CRISART EVENTOS LTDA"</f>
        <v>CRISART EVENTOS LTDA</v>
      </c>
      <c r="C283" s="31" t="s">
        <v>164</v>
      </c>
      <c r="D283" s="31" t="s">
        <v>874</v>
      </c>
      <c r="E283" s="41">
        <v>149135.9</v>
      </c>
      <c r="F283" s="41">
        <v>0</v>
      </c>
      <c r="G283" s="41">
        <v>149135.9</v>
      </c>
      <c r="H283" s="21"/>
      <c r="I283" s="22" t="s">
        <v>873</v>
      </c>
      <c r="J283" s="23" t="s">
        <v>16</v>
      </c>
      <c r="K283" s="22" t="s">
        <v>873</v>
      </c>
      <c r="L283" s="22" t="s">
        <v>13</v>
      </c>
      <c r="M283" s="22" t="s">
        <v>13</v>
      </c>
      <c r="N283" s="22" t="s">
        <v>873</v>
      </c>
      <c r="O283" s="24" t="s">
        <v>164</v>
      </c>
      <c r="P283" s="24" t="s">
        <v>874</v>
      </c>
      <c r="Q283" s="21" t="s">
        <v>652</v>
      </c>
      <c r="R283" s="24" t="s">
        <v>164</v>
      </c>
    </row>
    <row r="284" spans="1:18" x14ac:dyDescent="0.35">
      <c r="A284" s="37">
        <v>12069</v>
      </c>
      <c r="B284" s="21" t="str">
        <f>"CETEST MINAS ENGENHARIA E SERVICOS S A"</f>
        <v>CETEST MINAS ENGENHARIA E SERVICOS S A</v>
      </c>
      <c r="C284" s="31">
        <v>46181</v>
      </c>
      <c r="D284" s="31">
        <v>46184</v>
      </c>
      <c r="E284" s="41">
        <v>702090.32</v>
      </c>
      <c r="F284" s="41">
        <v>0</v>
      </c>
      <c r="G284" s="41">
        <v>702090.32</v>
      </c>
      <c r="H284" s="21"/>
      <c r="I284" s="22" t="s">
        <v>875</v>
      </c>
      <c r="J284" s="23" t="s">
        <v>16</v>
      </c>
      <c r="K284" s="22" t="s">
        <v>875</v>
      </c>
      <c r="L284" s="22" t="s">
        <v>13</v>
      </c>
      <c r="M284" s="22" t="s">
        <v>13</v>
      </c>
      <c r="N284" s="22" t="s">
        <v>875</v>
      </c>
      <c r="O284" s="24">
        <v>46181</v>
      </c>
      <c r="P284" s="24">
        <v>46184</v>
      </c>
      <c r="Q284" s="21" t="s">
        <v>652</v>
      </c>
      <c r="R284" s="24">
        <v>46181</v>
      </c>
    </row>
    <row r="285" spans="1:18" x14ac:dyDescent="0.35">
      <c r="A285" s="37">
        <v>12070</v>
      </c>
      <c r="B285" s="21" t="str">
        <f>"ALVES E OLIVEIRA SOLUCOES DIGITAIS E VENDA DE EQUIPAMENTOS LTDA"</f>
        <v>ALVES E OLIVEIRA SOLUCOES DIGITAIS E VENDA DE EQUIPAMENTOS LTDA</v>
      </c>
      <c r="C285" s="31" t="s">
        <v>281</v>
      </c>
      <c r="D285" s="31" t="s">
        <v>877</v>
      </c>
      <c r="E285" s="41">
        <v>6640</v>
      </c>
      <c r="F285" s="41">
        <v>0</v>
      </c>
      <c r="G285" s="41">
        <v>6640</v>
      </c>
      <c r="H285" s="21"/>
      <c r="I285" s="22" t="s">
        <v>876</v>
      </c>
      <c r="J285" s="23" t="s">
        <v>16</v>
      </c>
      <c r="K285" s="22" t="s">
        <v>876</v>
      </c>
      <c r="L285" s="22" t="s">
        <v>13</v>
      </c>
      <c r="M285" s="22" t="s">
        <v>13</v>
      </c>
      <c r="N285" s="22" t="s">
        <v>876</v>
      </c>
      <c r="O285" s="24" t="s">
        <v>281</v>
      </c>
      <c r="P285" s="24" t="s">
        <v>877</v>
      </c>
      <c r="Q285" s="21" t="s">
        <v>652</v>
      </c>
      <c r="R285" s="24" t="s">
        <v>281</v>
      </c>
    </row>
    <row r="286" spans="1:18" x14ac:dyDescent="0.35">
      <c r="A286" s="37">
        <v>12071</v>
      </c>
      <c r="B286" s="21" t="str">
        <f>"TOTVS SA"</f>
        <v>TOTVS SA</v>
      </c>
      <c r="C286" s="31" t="s">
        <v>879</v>
      </c>
      <c r="D286" s="31" t="s">
        <v>880</v>
      </c>
      <c r="E286" s="41">
        <v>2339238.7200000002</v>
      </c>
      <c r="F286" s="41">
        <v>0</v>
      </c>
      <c r="G286" s="41">
        <v>2339238.7200000002</v>
      </c>
      <c r="H286" s="21"/>
      <c r="I286" s="22" t="s">
        <v>878</v>
      </c>
      <c r="J286" s="23" t="s">
        <v>16</v>
      </c>
      <c r="K286" s="22" t="s">
        <v>878</v>
      </c>
      <c r="L286" s="22" t="s">
        <v>13</v>
      </c>
      <c r="M286" s="22" t="s">
        <v>13</v>
      </c>
      <c r="N286" s="22" t="s">
        <v>878</v>
      </c>
      <c r="O286" s="24" t="s">
        <v>879</v>
      </c>
      <c r="P286" s="24" t="s">
        <v>880</v>
      </c>
      <c r="Q286" s="21" t="s">
        <v>652</v>
      </c>
      <c r="R286" s="24" t="s">
        <v>879</v>
      </c>
    </row>
    <row r="287" spans="1:18" x14ac:dyDescent="0.35">
      <c r="A287" s="37">
        <v>12072</v>
      </c>
      <c r="B287" s="21" t="str">
        <f>"MN TECNOLOGIA E TREINAMENTO LTDA"</f>
        <v>MN TECNOLOGIA E TREINAMENTO LTDA</v>
      </c>
      <c r="C287" s="31" t="s">
        <v>879</v>
      </c>
      <c r="D287" s="31" t="s">
        <v>882</v>
      </c>
      <c r="E287" s="41">
        <v>111472</v>
      </c>
      <c r="F287" s="41">
        <v>0</v>
      </c>
      <c r="G287" s="41">
        <v>111472</v>
      </c>
      <c r="H287" s="21"/>
      <c r="I287" s="22" t="s">
        <v>881</v>
      </c>
      <c r="J287" s="23" t="s">
        <v>16</v>
      </c>
      <c r="K287" s="22" t="s">
        <v>881</v>
      </c>
      <c r="L287" s="22" t="s">
        <v>13</v>
      </c>
      <c r="M287" s="22" t="s">
        <v>13</v>
      </c>
      <c r="N287" s="22" t="s">
        <v>881</v>
      </c>
      <c r="O287" s="24" t="s">
        <v>879</v>
      </c>
      <c r="P287" s="24" t="s">
        <v>882</v>
      </c>
      <c r="Q287" s="21" t="s">
        <v>652</v>
      </c>
      <c r="R287" s="24" t="s">
        <v>879</v>
      </c>
    </row>
    <row r="288" spans="1:18" x14ac:dyDescent="0.35">
      <c r="A288" s="37">
        <v>12080</v>
      </c>
      <c r="B288" s="21" t="str">
        <f>"TOLENTINO ADVOGADOS"</f>
        <v>TOLENTINO ADVOGADOS</v>
      </c>
      <c r="C288" s="31" t="s">
        <v>533</v>
      </c>
      <c r="D288" s="31" t="s">
        <v>857</v>
      </c>
      <c r="E288" s="41">
        <v>1900000</v>
      </c>
      <c r="F288" s="41">
        <v>0</v>
      </c>
      <c r="G288" s="41">
        <v>1900000</v>
      </c>
      <c r="H288" s="21"/>
      <c r="I288" s="22" t="s">
        <v>883</v>
      </c>
      <c r="J288" s="23" t="s">
        <v>16</v>
      </c>
      <c r="K288" s="22" t="s">
        <v>883</v>
      </c>
      <c r="L288" s="22" t="s">
        <v>13</v>
      </c>
      <c r="M288" s="22" t="s">
        <v>13</v>
      </c>
      <c r="N288" s="22" t="s">
        <v>883</v>
      </c>
      <c r="O288" s="24" t="s">
        <v>533</v>
      </c>
      <c r="P288" s="24" t="s">
        <v>857</v>
      </c>
      <c r="Q288" s="21" t="s">
        <v>652</v>
      </c>
      <c r="R288" s="24" t="s">
        <v>533</v>
      </c>
    </row>
    <row r="289" spans="1:18" x14ac:dyDescent="0.35">
      <c r="A289" s="37">
        <v>12082</v>
      </c>
      <c r="B289" s="21" t="str">
        <f>"ASSOCIACAO  NACIONAL DO MINISTERIO PUBLICO DE CONTAS"</f>
        <v>ASSOCIACAO  NACIONAL DO MINISTERIO PUBLICO DE CONTAS</v>
      </c>
      <c r="C289" s="31" t="s">
        <v>661</v>
      </c>
      <c r="D289" s="31" t="s">
        <v>884</v>
      </c>
      <c r="E289" s="41">
        <v>150000</v>
      </c>
      <c r="F289" s="41">
        <v>0</v>
      </c>
      <c r="G289" s="41">
        <v>150000</v>
      </c>
      <c r="H289" s="21"/>
      <c r="I289" s="22" t="s">
        <v>523</v>
      </c>
      <c r="J289" s="23" t="s">
        <v>16</v>
      </c>
      <c r="K289" s="22" t="s">
        <v>523</v>
      </c>
      <c r="L289" s="22" t="s">
        <v>13</v>
      </c>
      <c r="M289" s="22" t="s">
        <v>13</v>
      </c>
      <c r="N289" s="22" t="s">
        <v>523</v>
      </c>
      <c r="O289" s="24" t="s">
        <v>661</v>
      </c>
      <c r="P289" s="24" t="s">
        <v>884</v>
      </c>
      <c r="Q289" s="21" t="s">
        <v>652</v>
      </c>
      <c r="R289" s="24" t="s">
        <v>661</v>
      </c>
    </row>
    <row r="290" spans="1:18" ht="15" thickBot="1" x14ac:dyDescent="0.4">
      <c r="A290" s="38">
        <v>100003</v>
      </c>
      <c r="B290" s="25" t="str">
        <f>"FUNDACAO CULTURAL ACIA"</f>
        <v>FUNDACAO CULTURAL ACIA</v>
      </c>
      <c r="C290" s="33" t="s">
        <v>493</v>
      </c>
      <c r="D290" s="33" t="s">
        <v>281</v>
      </c>
      <c r="E290" s="42">
        <v>350000</v>
      </c>
      <c r="F290" s="42">
        <v>0</v>
      </c>
      <c r="G290" s="42">
        <v>350000</v>
      </c>
      <c r="H290" s="25"/>
      <c r="I290" s="26" t="s">
        <v>492</v>
      </c>
      <c r="J290" s="27" t="s">
        <v>16</v>
      </c>
      <c r="K290" s="26" t="s">
        <v>492</v>
      </c>
      <c r="L290" s="26" t="s">
        <v>13</v>
      </c>
      <c r="M290" s="26" t="s">
        <v>13</v>
      </c>
      <c r="N290" s="26" t="s">
        <v>492</v>
      </c>
      <c r="O290" s="28" t="s">
        <v>493</v>
      </c>
      <c r="P290" s="28" t="s">
        <v>281</v>
      </c>
      <c r="Q290" s="25" t="s">
        <v>652</v>
      </c>
      <c r="R290" s="28" t="s">
        <v>493</v>
      </c>
    </row>
  </sheetData>
  <autoFilter ref="E1:E296" xr:uid="{0A129C8D-1A13-4AFE-BDD1-63491F38F965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Publicar</vt:lpstr>
      <vt:lpstr>ERP</vt:lpstr>
      <vt:lpstr>Publicar!Titulos_de_impressao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Lúcio Rogério Ramos</dc:creator>
  <cp:lastModifiedBy>Rafaela Rodrigues Fidelis</cp:lastModifiedBy>
  <cp:lastPrinted>2026-09-02T18:28:02Z</cp:lastPrinted>
  <dcterms:created xsi:type="dcterms:W3CDTF">2023-10-02T11:49:44Z</dcterms:created>
  <dcterms:modified xsi:type="dcterms:W3CDTF">2026-09-02T18:38:24Z</dcterms:modified>
</cp:coreProperties>
</file>