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ECOP\COORDENACAO CONTRATOS\6. Planilhas TCE\Execução de Contratos\2026\Excel\"/>
    </mc:Choice>
  </mc:AlternateContent>
  <xr:revisionPtr revIDLastSave="0" documentId="13_ncr:1_{CA639A08-8581-4638-B25E-93064AEA307B}" xr6:coauthVersionLast="47" xr6:coauthVersionMax="47" xr10:uidLastSave="{00000000-0000-0000-0000-000000000000}"/>
  <bookViews>
    <workbookView xWindow="-18000" yWindow="-16320" windowWidth="29040" windowHeight="15840" activeTab="1" xr2:uid="{16B30FFB-E59C-4EE2-BCD0-F2286668ACC4}"/>
  </bookViews>
  <sheets>
    <sheet name="Publicar" sheetId="1" r:id="rId1"/>
    <sheet name="ERP 1" sheetId="16" r:id="rId2"/>
  </sheets>
  <definedNames>
    <definedName name="_xlnm._FilterDatabase" localSheetId="1" hidden="1">'ERP 1'!$E$1:$E$288</definedName>
    <definedName name="_xlnm._FilterDatabase" localSheetId="0" hidden="1">Publicar!$H$1:$H$4</definedName>
    <definedName name="_xlnm.Print_Titles" localSheetId="0">Publicar!$1:$4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8" i="1" l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B2" i="16"/>
  <c r="B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B109" i="16"/>
  <c r="B110" i="16"/>
  <c r="B111" i="16"/>
  <c r="B112" i="16"/>
  <c r="B113" i="16"/>
  <c r="B114" i="16"/>
  <c r="B115" i="16"/>
  <c r="B116" i="16"/>
  <c r="B117" i="16"/>
  <c r="B118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19" i="16"/>
  <c r="B220" i="16"/>
  <c r="B221" i="16"/>
  <c r="B222" i="16"/>
  <c r="B223" i="16"/>
  <c r="B224" i="16"/>
  <c r="B225" i="16"/>
  <c r="B226" i="16"/>
  <c r="B227" i="16"/>
  <c r="B228" i="16"/>
  <c r="B229" i="16"/>
  <c r="B230" i="16"/>
  <c r="B231" i="16"/>
  <c r="B232" i="16"/>
  <c r="B233" i="16"/>
  <c r="B234" i="16"/>
  <c r="B235" i="16"/>
  <c r="B236" i="16"/>
  <c r="B237" i="16"/>
  <c r="B238" i="16"/>
  <c r="B239" i="16"/>
  <c r="B240" i="16"/>
  <c r="B241" i="16"/>
  <c r="B242" i="16"/>
  <c r="B243" i="16"/>
  <c r="B244" i="16"/>
  <c r="B245" i="16"/>
  <c r="B246" i="16"/>
  <c r="B247" i="16"/>
  <c r="B248" i="16"/>
  <c r="B249" i="16"/>
  <c r="B250" i="16"/>
  <c r="B251" i="16"/>
  <c r="B252" i="16"/>
  <c r="B253" i="16"/>
  <c r="B254" i="16"/>
  <c r="B255" i="16"/>
  <c r="B256" i="16"/>
  <c r="B257" i="16"/>
  <c r="B258" i="16"/>
  <c r="B259" i="16"/>
  <c r="B260" i="16"/>
  <c r="B261" i="16"/>
  <c r="B262" i="16"/>
  <c r="B263" i="16"/>
  <c r="B264" i="16"/>
  <c r="B265" i="16"/>
  <c r="B266" i="16"/>
  <c r="B267" i="16"/>
  <c r="B268" i="16"/>
  <c r="B269" i="16"/>
  <c r="B270" i="16"/>
  <c r="B271" i="16"/>
  <c r="B272" i="16"/>
  <c r="B273" i="16"/>
  <c r="B274" i="16"/>
  <c r="B275" i="16"/>
  <c r="B276" i="16"/>
  <c r="B277" i="16"/>
  <c r="B278" i="16"/>
  <c r="B279" i="16"/>
  <c r="B280" i="16"/>
  <c r="B281" i="16"/>
  <c r="B282" i="16"/>
  <c r="B283" i="16"/>
  <c r="B284" i="16"/>
  <c r="B285" i="16"/>
  <c r="B286" i="16"/>
  <c r="B287" i="16"/>
  <c r="B288" i="16"/>
</calcChain>
</file>

<file path=xl/sharedStrings.xml><?xml version="1.0" encoding="utf-8"?>
<sst xmlns="http://schemas.openxmlformats.org/spreadsheetml/2006/main" count="1561" uniqueCount="883">
  <si>
    <t>Saldo Contrato</t>
  </si>
  <si>
    <t>N° do Contrato/Convênio</t>
  </si>
  <si>
    <t>Saldo Inicial</t>
  </si>
  <si>
    <t>Total Executado</t>
  </si>
  <si>
    <t>Fornecedor</t>
  </si>
  <si>
    <t>Informação completa mensalmente atualizada sobre a execução de seus contratos e de seu orçamento, nos termos do art. 88 da Lei 13.303/2016.</t>
  </si>
  <si>
    <t>Contrato</t>
  </si>
  <si>
    <t>Inicio Vigência</t>
  </si>
  <si>
    <t>Data Término</t>
  </si>
  <si>
    <t>Data de Encerramento</t>
  </si>
  <si>
    <t>Data de Início</t>
  </si>
  <si>
    <t>103.622.019,2600</t>
  </si>
  <si>
    <t>93.336.239,2400</t>
  </si>
  <si>
    <t>10.285.780,0200</t>
  </si>
  <si>
    <t>0,0000</t>
  </si>
  <si>
    <t>31/12/9999</t>
  </si>
  <si>
    <t>0,0100</t>
  </si>
  <si>
    <t>,0000</t>
  </si>
  <si>
    <t>3.969.763,3500</t>
  </si>
  <si>
    <t>1.367.115,4100</t>
  </si>
  <si>
    <t>2.602.647,9400</t>
  </si>
  <si>
    <t>152.611,3400</t>
  </si>
  <si>
    <t>142.611,3400</t>
  </si>
  <si>
    <t>10.000,0000</t>
  </si>
  <si>
    <t>20/01/2010</t>
  </si>
  <si>
    <t>30/12/9999</t>
  </si>
  <si>
    <t>26/01/2029</t>
  </si>
  <si>
    <t>1.208.760,0000</t>
  </si>
  <si>
    <t>58.620,0000</t>
  </si>
  <si>
    <t>1.150.140,0000</t>
  </si>
  <si>
    <t>26/03/2026</t>
  </si>
  <si>
    <t>26/03/2027</t>
  </si>
  <si>
    <t>625.526,0000</t>
  </si>
  <si>
    <t>14/01/2016</t>
  </si>
  <si>
    <t>3.281.932,1900</t>
  </si>
  <si>
    <t>29/06/2016</t>
  </si>
  <si>
    <t>26/05/2028</t>
  </si>
  <si>
    <t>4.419,0000</t>
  </si>
  <si>
    <t>21/07/2017</t>
  </si>
  <si>
    <t>102.900,0000</t>
  </si>
  <si>
    <t>31/12/2026</t>
  </si>
  <si>
    <t>7.500,0000</t>
  </si>
  <si>
    <t>19/12/2026</t>
  </si>
  <si>
    <t>52.920,0000</t>
  </si>
  <si>
    <t>23/02/2027</t>
  </si>
  <si>
    <t>28/03/2027</t>
  </si>
  <si>
    <t>29/07/2026</t>
  </si>
  <si>
    <t>79.203,6000</t>
  </si>
  <si>
    <t>92.530.000,0000</t>
  </si>
  <si>
    <t>680.000,0000</t>
  </si>
  <si>
    <t>13/09/2018</t>
  </si>
  <si>
    <t>22/08/2026</t>
  </si>
  <si>
    <t>1.150.941,4700</t>
  </si>
  <si>
    <t>1.068.829,1400</t>
  </si>
  <si>
    <t>82.112,3300</t>
  </si>
  <si>
    <t>336.665,7000</t>
  </si>
  <si>
    <t>23/12/2019</t>
  </si>
  <si>
    <t>26/12/2026</t>
  </si>
  <si>
    <t>44.102,0900</t>
  </si>
  <si>
    <t>28.383,6600</t>
  </si>
  <si>
    <t>15.718,4300</t>
  </si>
  <si>
    <t>20/11/2020</t>
  </si>
  <si>
    <t>20/11/2025</t>
  </si>
  <si>
    <t>70.157.372,0800</t>
  </si>
  <si>
    <t>30/01/2037</t>
  </si>
  <si>
    <t>33.832,8000</t>
  </si>
  <si>
    <t>22.334,2700</t>
  </si>
  <si>
    <t>11.498,5300</t>
  </si>
  <si>
    <t>14/08/2021</t>
  </si>
  <si>
    <t>14/08/2026</t>
  </si>
  <si>
    <t>40.000,0000</t>
  </si>
  <si>
    <t>32.000,0000</t>
  </si>
  <si>
    <t>8.000,0000</t>
  </si>
  <si>
    <t>20/07/2021</t>
  </si>
  <si>
    <t>30/08/2031</t>
  </si>
  <si>
    <t>178.028,4800</t>
  </si>
  <si>
    <t>25.067,8400</t>
  </si>
  <si>
    <t>152.960,6400</t>
  </si>
  <si>
    <t>24/08/2021</t>
  </si>
  <si>
    <t>23/08/2026</t>
  </si>
  <si>
    <t>30/08/2021</t>
  </si>
  <si>
    <t>9.111.207,0700</t>
  </si>
  <si>
    <t>8.319.725,4100</t>
  </si>
  <si>
    <t>791.481,6600</t>
  </si>
  <si>
    <t>3.037.289,4500</t>
  </si>
  <si>
    <t>2.941.930,4600</t>
  </si>
  <si>
    <t>95.358,9900</t>
  </si>
  <si>
    <t>435.114,2200</t>
  </si>
  <si>
    <t>419.845,4600</t>
  </si>
  <si>
    <t>15.268,7600</t>
  </si>
  <si>
    <t>603.438,6700</t>
  </si>
  <si>
    <t>582.903,4400</t>
  </si>
  <si>
    <t>20.535,2300</t>
  </si>
  <si>
    <t>1.268.877,0400</t>
  </si>
  <si>
    <t>985.665,9500</t>
  </si>
  <si>
    <t>283.211,0900</t>
  </si>
  <si>
    <t>23/08/2021</t>
  </si>
  <si>
    <t>1.947.914,3600</t>
  </si>
  <si>
    <t>1.775.440,9600</t>
  </si>
  <si>
    <t>172.473,4000</t>
  </si>
  <si>
    <t>16/12/2021</t>
  </si>
  <si>
    <t>16/12/2026</t>
  </si>
  <si>
    <t>9.617.723,4600</t>
  </si>
  <si>
    <t>5.263.377,7100</t>
  </si>
  <si>
    <t>4.354.345,7500</t>
  </si>
  <si>
    <t>10.686.200,0000</t>
  </si>
  <si>
    <t>4.430.340,1000</t>
  </si>
  <si>
    <t>6.255.859,9000</t>
  </si>
  <si>
    <t>17/12/2021</t>
  </si>
  <si>
    <t>31/10/2026</t>
  </si>
  <si>
    <t>24.900,0000</t>
  </si>
  <si>
    <t>18/01/2022</t>
  </si>
  <si>
    <t>23.278.165,5000</t>
  </si>
  <si>
    <t>15.489.991,3300</t>
  </si>
  <si>
    <t>7.788.174,1700</t>
  </si>
  <si>
    <t>20/01/2022</t>
  </si>
  <si>
    <t>20/01/2027</t>
  </si>
  <si>
    <t>522.522,0500</t>
  </si>
  <si>
    <t>456.938,1000</t>
  </si>
  <si>
    <t>65.583,9500</t>
  </si>
  <si>
    <t>27/01/2022</t>
  </si>
  <si>
    <t>27/01/2027</t>
  </si>
  <si>
    <t>44.668,0000</t>
  </si>
  <si>
    <t>36.248,0000</t>
  </si>
  <si>
    <t>8.420,0000</t>
  </si>
  <si>
    <t>18/01/2027</t>
  </si>
  <si>
    <t>13.831,1000</t>
  </si>
  <si>
    <t>12.275,3200</t>
  </si>
  <si>
    <t>1.555,7800</t>
  </si>
  <si>
    <t>24/01/2022</t>
  </si>
  <si>
    <t>24/01/2027</t>
  </si>
  <si>
    <t>300.000,0000</t>
  </si>
  <si>
    <t>46.340,1700</t>
  </si>
  <si>
    <t>39.987,3400</t>
  </si>
  <si>
    <t>6.352,8300</t>
  </si>
  <si>
    <t>22/03/2022</t>
  </si>
  <si>
    <t>22/03/2027</t>
  </si>
  <si>
    <t>15.918,1200</t>
  </si>
  <si>
    <t>13.364,8000</t>
  </si>
  <si>
    <t>2.553,3200</t>
  </si>
  <si>
    <t>850.000,0000</t>
  </si>
  <si>
    <t>391.019,0100</t>
  </si>
  <si>
    <t>458.980,9900</t>
  </si>
  <si>
    <t>18/03/2022</t>
  </si>
  <si>
    <t>18/03/2027</t>
  </si>
  <si>
    <t>953.640,0000</t>
  </si>
  <si>
    <t>126.113,6400</t>
  </si>
  <si>
    <t>98.740,2100</t>
  </si>
  <si>
    <t>27.373,4300</t>
  </si>
  <si>
    <t>30/05/2027</t>
  </si>
  <si>
    <t>126.169,8900</t>
  </si>
  <si>
    <t>106.566,0700</t>
  </si>
  <si>
    <t>19.603,8200</t>
  </si>
  <si>
    <t>29/06/2022</t>
  </si>
  <si>
    <t>29/06/2027</t>
  </si>
  <si>
    <t>2.175.000,0000</t>
  </si>
  <si>
    <t>167.100,0000</t>
  </si>
  <si>
    <t>2.007.900,0000</t>
  </si>
  <si>
    <t>18/07/2022</t>
  </si>
  <si>
    <t>18/07/2027</t>
  </si>
  <si>
    <t>1.894.641,2000</t>
  </si>
  <si>
    <t>1.212.150,4800</t>
  </si>
  <si>
    <t>682.490,7200</t>
  </si>
  <si>
    <t>59.154,0000</t>
  </si>
  <si>
    <t>37.305,4100</t>
  </si>
  <si>
    <t>21.848,5900</t>
  </si>
  <si>
    <t>18/08/2022</t>
  </si>
  <si>
    <t>17/08/2027</t>
  </si>
  <si>
    <t>1.139.888,0000</t>
  </si>
  <si>
    <t>46.536,0000</t>
  </si>
  <si>
    <t>1.093.352,0000</t>
  </si>
  <si>
    <t>1.611.000,0000</t>
  </si>
  <si>
    <t>220.000,0000</t>
  </si>
  <si>
    <t>1.391.000,0000</t>
  </si>
  <si>
    <t>810.180,0000</t>
  </si>
  <si>
    <t>639.315,4800</t>
  </si>
  <si>
    <t>170.864,5200</t>
  </si>
  <si>
    <t>435.772,3900</t>
  </si>
  <si>
    <t>435.772,3800</t>
  </si>
  <si>
    <t>4.447.946,0500</t>
  </si>
  <si>
    <t>3.683.306,6000</t>
  </si>
  <si>
    <t>764.639,4500</t>
  </si>
  <si>
    <t>247.478,0600</t>
  </si>
  <si>
    <t>184.948,6000</t>
  </si>
  <si>
    <t>62.529,4600</t>
  </si>
  <si>
    <t>109.517,0400</t>
  </si>
  <si>
    <t>96.601,2000</t>
  </si>
  <si>
    <t>12.915,8400</t>
  </si>
  <si>
    <t>8.400.000,0000</t>
  </si>
  <si>
    <t>6.428.044,7400</t>
  </si>
  <si>
    <t>1.971.955,2600</t>
  </si>
  <si>
    <t>30/11/2022</t>
  </si>
  <si>
    <t>30/11/2027</t>
  </si>
  <si>
    <t>456.597,6000</t>
  </si>
  <si>
    <t>311.528,9300</t>
  </si>
  <si>
    <t>145.068,6700</t>
  </si>
  <si>
    <t>16/01/2023</t>
  </si>
  <si>
    <t>16/01/2028</t>
  </si>
  <si>
    <t>7.877.744,0300</t>
  </si>
  <si>
    <t>1.449.877,1100</t>
  </si>
  <si>
    <t>6.427.866,9200</t>
  </si>
  <si>
    <t>908.210,7400</t>
  </si>
  <si>
    <t>693.050,9800</t>
  </si>
  <si>
    <t>215.159,7600</t>
  </si>
  <si>
    <t>15/12/2022</t>
  </si>
  <si>
    <t>16/01/2027</t>
  </si>
  <si>
    <t>726.019,1300</t>
  </si>
  <si>
    <t>590.013,1300</t>
  </si>
  <si>
    <t>136.006,0000</t>
  </si>
  <si>
    <t>25/01/2023</t>
  </si>
  <si>
    <t>25/01/2028</t>
  </si>
  <si>
    <t>38.654,9000</t>
  </si>
  <si>
    <t>29.162,2500</t>
  </si>
  <si>
    <t>9.492,6500</t>
  </si>
  <si>
    <t>16/03/2023</t>
  </si>
  <si>
    <t>16/03/2027</t>
  </si>
  <si>
    <t>3.375,0000</t>
  </si>
  <si>
    <t>1.600,0500</t>
  </si>
  <si>
    <t>1.774,9500</t>
  </si>
  <si>
    <t>27/02/2023</t>
  </si>
  <si>
    <t>27/02/2028</t>
  </si>
  <si>
    <t>669.000,0000</t>
  </si>
  <si>
    <t>227.416,0500</t>
  </si>
  <si>
    <t>441.583,9500</t>
  </si>
  <si>
    <t>31/03/2023</t>
  </si>
  <si>
    <t>31/03/2027</t>
  </si>
  <si>
    <t>2.077.944,2600</t>
  </si>
  <si>
    <t>1.950.227,2300</t>
  </si>
  <si>
    <t>127.717,0300</t>
  </si>
  <si>
    <t>19/04/2023</t>
  </si>
  <si>
    <t>19/08/2026</t>
  </si>
  <si>
    <t>13.854.718,0800</t>
  </si>
  <si>
    <t>16/10/2023</t>
  </si>
  <si>
    <t>16/10/2028</t>
  </si>
  <si>
    <t>2.117.696,7100</t>
  </si>
  <si>
    <t>2.098.032,3600</t>
  </si>
  <si>
    <t>19.664,3500</t>
  </si>
  <si>
    <t>1.391,4000</t>
  </si>
  <si>
    <t>21/04/2023</t>
  </si>
  <si>
    <t>20/04/2028</t>
  </si>
  <si>
    <t>9.436.219,9700</t>
  </si>
  <si>
    <t>7.830.734,3018</t>
  </si>
  <si>
    <t>1.605.485,6682</t>
  </si>
  <si>
    <t>597.573,3300</t>
  </si>
  <si>
    <t>597.573,2900</t>
  </si>
  <si>
    <t>0,0400</t>
  </si>
  <si>
    <t>83.413.751,7400</t>
  </si>
  <si>
    <t>49.071.315,6200</t>
  </si>
  <si>
    <t>34.342.436,1200</t>
  </si>
  <si>
    <t>27/07/2023</t>
  </si>
  <si>
    <t>27/07/2027</t>
  </si>
  <si>
    <t>384.827,5200</t>
  </si>
  <si>
    <t>181.305,6000</t>
  </si>
  <si>
    <t>203.521,9200</t>
  </si>
  <si>
    <t>30/08/2023</t>
  </si>
  <si>
    <t>30/08/2028</t>
  </si>
  <si>
    <t>285.999,6500</t>
  </si>
  <si>
    <t>248.863,7900</t>
  </si>
  <si>
    <t>114.757,9600</t>
  </si>
  <si>
    <t>134.105,8300</t>
  </si>
  <si>
    <t>12.144,4800</t>
  </si>
  <si>
    <t>11.462,4400</t>
  </si>
  <si>
    <t>26/09/2023</t>
  </si>
  <si>
    <t>26/09/2026</t>
  </si>
  <si>
    <t>1.459.177,2600</t>
  </si>
  <si>
    <t>1.388.367,2400</t>
  </si>
  <si>
    <t>70.810,0200</t>
  </si>
  <si>
    <t>20/09/2023</t>
  </si>
  <si>
    <t>20/09/2026</t>
  </si>
  <si>
    <t>233.820,0000</t>
  </si>
  <si>
    <t>226.830,0000</t>
  </si>
  <si>
    <t>6.990,0000</t>
  </si>
  <si>
    <t>28/09/2023</t>
  </si>
  <si>
    <t>27/12/2026</t>
  </si>
  <si>
    <t>77.863,3100</t>
  </si>
  <si>
    <t>71.163,2100</t>
  </si>
  <si>
    <t>6.700,1000</t>
  </si>
  <si>
    <t>20/10/2023</t>
  </si>
  <si>
    <t>20/10/2026</t>
  </si>
  <si>
    <t>55.350,0000</t>
  </si>
  <si>
    <t>52.733,4000</t>
  </si>
  <si>
    <t>2.616,6000</t>
  </si>
  <si>
    <t>23/11/2023</t>
  </si>
  <si>
    <t>23/11/2028</t>
  </si>
  <si>
    <t>3.700.000,0000</t>
  </si>
  <si>
    <t>18.185.513,5100</t>
  </si>
  <si>
    <t>18.008.652,7000</t>
  </si>
  <si>
    <t>176.860,8100</t>
  </si>
  <si>
    <t>5.016.317,2300</t>
  </si>
  <si>
    <t>3.009.790,3400</t>
  </si>
  <si>
    <t>2.006.526,8900</t>
  </si>
  <si>
    <t>28/11/2023</t>
  </si>
  <si>
    <t>110.718,9100</t>
  </si>
  <si>
    <t>106.089,6000</t>
  </si>
  <si>
    <t>4.629,3100</t>
  </si>
  <si>
    <t>27/11/2023</t>
  </si>
  <si>
    <t>27/11/2026</t>
  </si>
  <si>
    <t>1.792.296,0000</t>
  </si>
  <si>
    <t>909.378,6000</t>
  </si>
  <si>
    <t>882.917,4000</t>
  </si>
  <si>
    <t>14/12/2023</t>
  </si>
  <si>
    <t>14/12/2026</t>
  </si>
  <si>
    <t>70.920,0000</t>
  </si>
  <si>
    <t>6.244.757,1400</t>
  </si>
  <si>
    <t>6.201.226,0500</t>
  </si>
  <si>
    <t>43.531,0900</t>
  </si>
  <si>
    <t>2.958.700,0000</t>
  </si>
  <si>
    <t>31/07/2026</t>
  </si>
  <si>
    <t>30/12/2026</t>
  </si>
  <si>
    <t>155.205,3500</t>
  </si>
  <si>
    <t>106.673,7400</t>
  </si>
  <si>
    <t>48.531,6100</t>
  </si>
  <si>
    <t>31/08/2026</t>
  </si>
  <si>
    <t>165.600,0000</t>
  </si>
  <si>
    <t>86.433,2300</t>
  </si>
  <si>
    <t>79.166,7700</t>
  </si>
  <si>
    <t>26/02/2024</t>
  </si>
  <si>
    <t>26/02/2027</t>
  </si>
  <si>
    <t>10.000.000,0000</t>
  </si>
  <si>
    <t>12.086.072,6000</t>
  </si>
  <si>
    <t>287.518,1100</t>
  </si>
  <si>
    <t>12.481,8900</t>
  </si>
  <si>
    <t>31/10/2024</t>
  </si>
  <si>
    <t>673.140,0000</t>
  </si>
  <si>
    <t>671.048,6000</t>
  </si>
  <si>
    <t>2.091,4000</t>
  </si>
  <si>
    <t>14/11/2024</t>
  </si>
  <si>
    <t>660.216,0000</t>
  </si>
  <si>
    <t>582.488,4000</t>
  </si>
  <si>
    <t>77.727,6000</t>
  </si>
  <si>
    <t>16/04/2024</t>
  </si>
  <si>
    <t>6.468,0000</t>
  </si>
  <si>
    <t>31/03/2025</t>
  </si>
  <si>
    <t>95.648,5200</t>
  </si>
  <si>
    <t>54.959,6100</t>
  </si>
  <si>
    <t>40.688,9100</t>
  </si>
  <si>
    <t>30/04/2024</t>
  </si>
  <si>
    <t>30/04/2029</t>
  </si>
  <si>
    <t>17.860.269,7200</t>
  </si>
  <si>
    <t>1.122.278,3900</t>
  </si>
  <si>
    <t>16.737.991,3300</t>
  </si>
  <si>
    <t>28.685,2100</t>
  </si>
  <si>
    <t>21/05/2024</t>
  </si>
  <si>
    <t>21/11/2026</t>
  </si>
  <si>
    <t>1.004.967,8400</t>
  </si>
  <si>
    <t>747.764,4000</t>
  </si>
  <si>
    <t>257.203,4400</t>
  </si>
  <si>
    <t>21/05/2027</t>
  </si>
  <si>
    <t>1.006.231,7900</t>
  </si>
  <si>
    <t>574.920,5200</t>
  </si>
  <si>
    <t>431.311,2700</t>
  </si>
  <si>
    <t>50.000,0000</t>
  </si>
  <si>
    <t>16/05/2024</t>
  </si>
  <si>
    <t>15/05/2029</t>
  </si>
  <si>
    <t>1.610.000,0000</t>
  </si>
  <si>
    <t>31/07/2024</t>
  </si>
  <si>
    <t>1.347.831,4500</t>
  </si>
  <si>
    <t>13/06/2029</t>
  </si>
  <si>
    <t>545.544,0300</t>
  </si>
  <si>
    <t>472.745,2500</t>
  </si>
  <si>
    <t>72.798,7800</t>
  </si>
  <si>
    <t>27/05/2024</t>
  </si>
  <si>
    <t>27/05/2027</t>
  </si>
  <si>
    <t>339.483,0500</t>
  </si>
  <si>
    <t>133.561,7400</t>
  </si>
  <si>
    <t>205.921,3100</t>
  </si>
  <si>
    <t>14/06/2024</t>
  </si>
  <si>
    <t>216.032,0000</t>
  </si>
  <si>
    <t>201.732,0000</t>
  </si>
  <si>
    <t>14.300,0000</t>
  </si>
  <si>
    <t>19/06/2024</t>
  </si>
  <si>
    <t>18/06/2027</t>
  </si>
  <si>
    <t>36.000.000,7500</t>
  </si>
  <si>
    <t>4.146.208,9600</t>
  </si>
  <si>
    <t>31.853.791,7900</t>
  </si>
  <si>
    <t>23/07/2024</t>
  </si>
  <si>
    <t>23/07/2027</t>
  </si>
  <si>
    <t>598.461,6400</t>
  </si>
  <si>
    <t>26/06/2024</t>
  </si>
  <si>
    <t>27/08/2026</t>
  </si>
  <si>
    <t>30.610,7000</t>
  </si>
  <si>
    <t>22.692,0900</t>
  </si>
  <si>
    <t>7.918,6100</t>
  </si>
  <si>
    <t>362.836,0000</t>
  </si>
  <si>
    <t>130.224,5200</t>
  </si>
  <si>
    <t>232.611,4800</t>
  </si>
  <si>
    <t>15/07/2024</t>
  </si>
  <si>
    <t>14/07/2029</t>
  </si>
  <si>
    <t>241.000,0000</t>
  </si>
  <si>
    <t>222.925,0000</t>
  </si>
  <si>
    <t>18.075,0000</t>
  </si>
  <si>
    <t>1.253.715,5000</t>
  </si>
  <si>
    <t>590.688,1800</t>
  </si>
  <si>
    <t>663.027,3200</t>
  </si>
  <si>
    <t>32.500.000,0000</t>
  </si>
  <si>
    <t>4.650.000,0000</t>
  </si>
  <si>
    <t>28/06/2024</t>
  </si>
  <si>
    <t>2.068.396,5400</t>
  </si>
  <si>
    <t>931.102,2800</t>
  </si>
  <si>
    <t>322.150,4500</t>
  </si>
  <si>
    <t>608.951,8300</t>
  </si>
  <si>
    <t>30/07/2029</t>
  </si>
  <si>
    <t>2.416.584,1200</t>
  </si>
  <si>
    <t>1.396.950,3300</t>
  </si>
  <si>
    <t>1.019.633,7900</t>
  </si>
  <si>
    <t>26/08/2024</t>
  </si>
  <si>
    <t>26/08/2027</t>
  </si>
  <si>
    <t>21/08/2026</t>
  </si>
  <si>
    <t>1.867.210,0000</t>
  </si>
  <si>
    <t>27/08/2024</t>
  </si>
  <si>
    <t>27/09/2027</t>
  </si>
  <si>
    <t>15.006,7900</t>
  </si>
  <si>
    <t>330.150,0000</t>
  </si>
  <si>
    <t>163.214,6700</t>
  </si>
  <si>
    <t>166.935,3300</t>
  </si>
  <si>
    <t>95.198,4300</t>
  </si>
  <si>
    <t>54.629,4000</t>
  </si>
  <si>
    <t>40.569,0300</t>
  </si>
  <si>
    <t>1.397.336,4500</t>
  </si>
  <si>
    <t>597.889,2300</t>
  </si>
  <si>
    <t>799.447,2200</t>
  </si>
  <si>
    <t>593.845,5000</t>
  </si>
  <si>
    <t>439.230,3200</t>
  </si>
  <si>
    <t>154.615,1800</t>
  </si>
  <si>
    <t>19.396,8100</t>
  </si>
  <si>
    <t>17.738,2800</t>
  </si>
  <si>
    <t>1.658,5300</t>
  </si>
  <si>
    <t>16/10/2024</t>
  </si>
  <si>
    <t>16/10/2026</t>
  </si>
  <si>
    <t>1.169.864,0000</t>
  </si>
  <si>
    <t>38.653,9200</t>
  </si>
  <si>
    <t>1.131.210,0800</t>
  </si>
  <si>
    <t>24/10/2024</t>
  </si>
  <si>
    <t>24/10/2026</t>
  </si>
  <si>
    <t>190.000,0000</t>
  </si>
  <si>
    <t>30/10/2024</t>
  </si>
  <si>
    <t>30/10/2027</t>
  </si>
  <si>
    <t>41.239,6500</t>
  </si>
  <si>
    <t>156.739,6800</t>
  </si>
  <si>
    <t>89.544,7900</t>
  </si>
  <si>
    <t>67.194,8900</t>
  </si>
  <si>
    <t>128.000,0000</t>
  </si>
  <si>
    <t>95.211,0000</t>
  </si>
  <si>
    <t>32.789,0000</t>
  </si>
  <si>
    <t>14/07/2026</t>
  </si>
  <si>
    <t>607.500,0000</t>
  </si>
  <si>
    <t>421.670,8200</t>
  </si>
  <si>
    <t>185.829,1800</t>
  </si>
  <si>
    <t>23.876,1600</t>
  </si>
  <si>
    <t>17.907,1200</t>
  </si>
  <si>
    <t>5.969,0400</t>
  </si>
  <si>
    <t>581.087,9800</t>
  </si>
  <si>
    <t>452.095,4100</t>
  </si>
  <si>
    <t>128.992,5700</t>
  </si>
  <si>
    <t>43.968,0000</t>
  </si>
  <si>
    <t>34.808,0000</t>
  </si>
  <si>
    <t>9.160,0000</t>
  </si>
  <si>
    <t>353.306,6000</t>
  </si>
  <si>
    <t>135.644,8800</t>
  </si>
  <si>
    <t>217.661,7200</t>
  </si>
  <si>
    <t>26/11/2024</t>
  </si>
  <si>
    <t>25/11/2027</t>
  </si>
  <si>
    <t>400.509,6000</t>
  </si>
  <si>
    <t>218.990,4000</t>
  </si>
  <si>
    <t>181.519,2000</t>
  </si>
  <si>
    <t>17/12/2024</t>
  </si>
  <si>
    <t>17/12/2026</t>
  </si>
  <si>
    <t>5.186.330,3000</t>
  </si>
  <si>
    <t>2.512.436,3000</t>
  </si>
  <si>
    <t>2.673.894,0000</t>
  </si>
  <si>
    <t>30/12/2024</t>
  </si>
  <si>
    <t>34.000,0000</t>
  </si>
  <si>
    <t>7.276,9700</t>
  </si>
  <si>
    <t>26.723,0300</t>
  </si>
  <si>
    <t>1.223.406,1300</t>
  </si>
  <si>
    <t>358.410,0900</t>
  </si>
  <si>
    <t>864.996,0400</t>
  </si>
  <si>
    <t>195.744,0000</t>
  </si>
  <si>
    <t>52.251,2300</t>
  </si>
  <si>
    <t>143.492,7700</t>
  </si>
  <si>
    <t>28/01/2025</t>
  </si>
  <si>
    <t>28/01/2027</t>
  </si>
  <si>
    <t>5.378.920,8700</t>
  </si>
  <si>
    <t>2.304.871,9800</t>
  </si>
  <si>
    <t>3.074.048,8900</t>
  </si>
  <si>
    <t>19.560,0000</t>
  </si>
  <si>
    <t>21/02/2025</t>
  </si>
  <si>
    <t>21/02/2027</t>
  </si>
  <si>
    <t>259.047,0000</t>
  </si>
  <si>
    <t>259.046,9900</t>
  </si>
  <si>
    <t>20/02/2025</t>
  </si>
  <si>
    <t>20/02/2030</t>
  </si>
  <si>
    <t>337.500,0000</t>
  </si>
  <si>
    <t>209.250,0000</t>
  </si>
  <si>
    <t>128.250,0000</t>
  </si>
  <si>
    <t>18/03/2025</t>
  </si>
  <si>
    <t>18/11/2026</t>
  </si>
  <si>
    <t>562.990,5100</t>
  </si>
  <si>
    <t>228.097,7100</t>
  </si>
  <si>
    <t>334.892,8000</t>
  </si>
  <si>
    <t>23.747,1600</t>
  </si>
  <si>
    <t>17.660,7000</t>
  </si>
  <si>
    <t>6.086,4600</t>
  </si>
  <si>
    <t>25/01/2027</t>
  </si>
  <si>
    <t>20.480.000,0000</t>
  </si>
  <si>
    <t>18.480.000,0000</t>
  </si>
  <si>
    <t>2.000.000,0000</t>
  </si>
  <si>
    <t>28/03/2025</t>
  </si>
  <si>
    <t>74.400,0000</t>
  </si>
  <si>
    <t>37.200,0000</t>
  </si>
  <si>
    <t>31.708,8900</t>
  </si>
  <si>
    <t>22.200,0000</t>
  </si>
  <si>
    <t>9.508,8900</t>
  </si>
  <si>
    <t>22/05/2025</t>
  </si>
  <si>
    <t>22/05/2027</t>
  </si>
  <si>
    <t>3.595.587,3100</t>
  </si>
  <si>
    <t>3.489.011,0000</t>
  </si>
  <si>
    <t>106.576,3100</t>
  </si>
  <si>
    <t>14/04/2025</t>
  </si>
  <si>
    <t>15/01/2027</t>
  </si>
  <si>
    <t>23.186.137,2400</t>
  </si>
  <si>
    <t>7.009.534,5100</t>
  </si>
  <si>
    <t>16.176.602,7300</t>
  </si>
  <si>
    <t>6.058.351,0000</t>
  </si>
  <si>
    <t>5.464.157,9100</t>
  </si>
  <si>
    <t>594.193,0900</t>
  </si>
  <si>
    <t>14/05/2025</t>
  </si>
  <si>
    <t>470.950,0000</t>
  </si>
  <si>
    <t>19/05/2025</t>
  </si>
  <si>
    <t>19/05/2027</t>
  </si>
  <si>
    <t>20.000.000,0000</t>
  </si>
  <si>
    <t>30/05/2025</t>
  </si>
  <si>
    <t>4.680.898,2000</t>
  </si>
  <si>
    <t>1.379.534,4000</t>
  </si>
  <si>
    <t>3.301.363,8000</t>
  </si>
  <si>
    <t>23/06/2025</t>
  </si>
  <si>
    <t>23/05/2028</t>
  </si>
  <si>
    <t>34.778,8600</t>
  </si>
  <si>
    <t>12.982,2700</t>
  </si>
  <si>
    <t>21.796,5900</t>
  </si>
  <si>
    <t>27/06/2025</t>
  </si>
  <si>
    <t>27/06/2027</t>
  </si>
  <si>
    <t>966.000,0000</t>
  </si>
  <si>
    <t>483.000,0000</t>
  </si>
  <si>
    <t>18/06/2025</t>
  </si>
  <si>
    <t>24/06/2027</t>
  </si>
  <si>
    <t>440.030,8900</t>
  </si>
  <si>
    <t>173.757,7200</t>
  </si>
  <si>
    <t>266.273,1700</t>
  </si>
  <si>
    <t>21/06/2030</t>
  </si>
  <si>
    <t>4.956,0000</t>
  </si>
  <si>
    <t>25/06/2025</t>
  </si>
  <si>
    <t>14.250,8200</t>
  </si>
  <si>
    <t>30/06/2029</t>
  </si>
  <si>
    <t>1.677.000,0000</t>
  </si>
  <si>
    <t>1.173.900,0000</t>
  </si>
  <si>
    <t>503.100,0000</t>
  </si>
  <si>
    <t>752.799,7000</t>
  </si>
  <si>
    <t>344.300,0000</t>
  </si>
  <si>
    <t>13/11/2024</t>
  </si>
  <si>
    <t>13/11/2026</t>
  </si>
  <si>
    <t>3.299.766,5900</t>
  </si>
  <si>
    <t>124.967,7000</t>
  </si>
  <si>
    <t>3.174.798,8900</t>
  </si>
  <si>
    <t>5.400,0000</t>
  </si>
  <si>
    <t>200.912,9900</t>
  </si>
  <si>
    <t>75.377,9100</t>
  </si>
  <si>
    <t>125.535,0800</t>
  </si>
  <si>
    <t>13/08/2025</t>
  </si>
  <si>
    <t>13/08/2027</t>
  </si>
  <si>
    <t>567.889,9200</t>
  </si>
  <si>
    <t>143.507,8000</t>
  </si>
  <si>
    <t>424.382,1200</t>
  </si>
  <si>
    <t>15/09/2025</t>
  </si>
  <si>
    <t>14/09/2026</t>
  </si>
  <si>
    <t>5.034,1500</t>
  </si>
  <si>
    <t>87.535,0000</t>
  </si>
  <si>
    <t>18.268,5000</t>
  </si>
  <si>
    <t>69.266,5000</t>
  </si>
  <si>
    <t>19/08/2025</t>
  </si>
  <si>
    <t>18/08/2030</t>
  </si>
  <si>
    <t>2.960,0000</t>
  </si>
  <si>
    <t>2.340,0000</t>
  </si>
  <si>
    <t>25/08/2025</t>
  </si>
  <si>
    <t>25/08/2030</t>
  </si>
  <si>
    <t>649.800,0000</t>
  </si>
  <si>
    <t>595.650,0000</t>
  </si>
  <si>
    <t>54.150,0000</t>
  </si>
  <si>
    <t>21/08/2025</t>
  </si>
  <si>
    <t>20/08/2026</t>
  </si>
  <si>
    <t>11.821.714,9900</t>
  </si>
  <si>
    <t>20/08/2025</t>
  </si>
  <si>
    <t>58.650,0000</t>
  </si>
  <si>
    <t>39.330,0000</t>
  </si>
  <si>
    <t>19.320,0000</t>
  </si>
  <si>
    <t>3.455.983,0200</t>
  </si>
  <si>
    <t>3.394.663,0200</t>
  </si>
  <si>
    <t>61.320,0000</t>
  </si>
  <si>
    <t>30/10/2025</t>
  </si>
  <si>
    <t>29/10/2030</t>
  </si>
  <si>
    <t>7.113.659,1000</t>
  </si>
  <si>
    <t>4.480.409,2500</t>
  </si>
  <si>
    <t>2.633.249,8500</t>
  </si>
  <si>
    <t>5.150,0790</t>
  </si>
  <si>
    <t>31/07/2025</t>
  </si>
  <si>
    <t>31/07/2027</t>
  </si>
  <si>
    <t>129.926,3800</t>
  </si>
  <si>
    <t>17/09/2025</t>
  </si>
  <si>
    <t>17/09/2030</t>
  </si>
  <si>
    <t>33.300,0000</t>
  </si>
  <si>
    <t>10.300,0000</t>
  </si>
  <si>
    <t>23.000,0000</t>
  </si>
  <si>
    <t>24/09/2025</t>
  </si>
  <si>
    <t>24/09/2027</t>
  </si>
  <si>
    <t>9.360,0000</t>
  </si>
  <si>
    <t>6.240,0000</t>
  </si>
  <si>
    <t>3.120,0000</t>
  </si>
  <si>
    <t>23/09/2026</t>
  </si>
  <si>
    <t>6.393,2000</t>
  </si>
  <si>
    <t>550.000,0000</t>
  </si>
  <si>
    <t>23/10/2025</t>
  </si>
  <si>
    <t>30/08/2026</t>
  </si>
  <si>
    <t>100.000,0000</t>
  </si>
  <si>
    <t>95.000,0000</t>
  </si>
  <si>
    <t>5.000,0000</t>
  </si>
  <si>
    <t>3.709.000,0000</t>
  </si>
  <si>
    <t>541.559,1400</t>
  </si>
  <si>
    <t>3.167.440,8600</t>
  </si>
  <si>
    <t>22/10/2026</t>
  </si>
  <si>
    <t>186.341,3400</t>
  </si>
  <si>
    <t>255.780,0000</t>
  </si>
  <si>
    <t>97.720,0000</t>
  </si>
  <si>
    <t>158.060,0000</t>
  </si>
  <si>
    <t>19/11/2025</t>
  </si>
  <si>
    <t>2.873.959,7400</t>
  </si>
  <si>
    <t>1.440.005,6900</t>
  </si>
  <si>
    <t>1.433.954,0500</t>
  </si>
  <si>
    <t>129.798,6400</t>
  </si>
  <si>
    <t>74.478,6400</t>
  </si>
  <si>
    <t>55.320,0000</t>
  </si>
  <si>
    <t>23/10/2026</t>
  </si>
  <si>
    <t>90.000,0000</t>
  </si>
  <si>
    <t>89.850,0000</t>
  </si>
  <si>
    <t>26/11/2025</t>
  </si>
  <si>
    <t>25/07/2026</t>
  </si>
  <si>
    <t>337.040,0000</t>
  </si>
  <si>
    <t>78.643,1200</t>
  </si>
  <si>
    <t>258.396,8800</t>
  </si>
  <si>
    <t>15/10/2025</t>
  </si>
  <si>
    <t>15/10/2027</t>
  </si>
  <si>
    <t>76.000,0000</t>
  </si>
  <si>
    <t>165.000,0000</t>
  </si>
  <si>
    <t>101.800,0000</t>
  </si>
  <si>
    <t>63.200,0000</t>
  </si>
  <si>
    <t>200.000,0000</t>
  </si>
  <si>
    <t>143.130,3000</t>
  </si>
  <si>
    <t>56.869,7000</t>
  </si>
  <si>
    <t>29/10/2025</t>
  </si>
  <si>
    <t>34.472,5000</t>
  </si>
  <si>
    <t>33.309,6000</t>
  </si>
  <si>
    <t>1.162,9000</t>
  </si>
  <si>
    <t>216.554,8000</t>
  </si>
  <si>
    <t>80.670,4500</t>
  </si>
  <si>
    <t>135.884,3500</t>
  </si>
  <si>
    <t>17/11/2025</t>
  </si>
  <si>
    <t>16/11/2026</t>
  </si>
  <si>
    <t>7.522.594,6700</t>
  </si>
  <si>
    <t>225.677,8400</t>
  </si>
  <si>
    <t>7.296.916,8300</t>
  </si>
  <si>
    <t>6.175.950,0000</t>
  </si>
  <si>
    <t>19/01/2026</t>
  </si>
  <si>
    <t>500.000,0000</t>
  </si>
  <si>
    <t>24/11/2025</t>
  </si>
  <si>
    <t>298.480,0000</t>
  </si>
  <si>
    <t>1.520,0000</t>
  </si>
  <si>
    <t>27/11/2025</t>
  </si>
  <si>
    <t>26/11/2026</t>
  </si>
  <si>
    <t>45.000,0000</t>
  </si>
  <si>
    <t>14/11/2025</t>
  </si>
  <si>
    <t>14/11/2026</t>
  </si>
  <si>
    <t>700.000,0000</t>
  </si>
  <si>
    <t>525.000,0000</t>
  </si>
  <si>
    <t>175.000,0000</t>
  </si>
  <si>
    <t>15/12/2025</t>
  </si>
  <si>
    <t>6.500,0000</t>
  </si>
  <si>
    <t>4.667,5000</t>
  </si>
  <si>
    <t>1.832,5000</t>
  </si>
  <si>
    <t>19/11/2026</t>
  </si>
  <si>
    <t>2.560.582,5600</t>
  </si>
  <si>
    <t>694.785,5900</t>
  </si>
  <si>
    <t>1.865.796,9700</t>
  </si>
  <si>
    <t>18/11/2025</t>
  </si>
  <si>
    <t>17/11/2026</t>
  </si>
  <si>
    <t>12.300,0000</t>
  </si>
  <si>
    <t>7.483,7600</t>
  </si>
  <si>
    <t>4.816,2400</t>
  </si>
  <si>
    <t>28/11/2025</t>
  </si>
  <si>
    <t>227.504,9600</t>
  </si>
  <si>
    <t>218.524,5700</t>
  </si>
  <si>
    <t>8.980,3900</t>
  </si>
  <si>
    <t>29/11/2025</t>
  </si>
  <si>
    <t>29/08/2026</t>
  </si>
  <si>
    <t>789.833,3500</t>
  </si>
  <si>
    <t>39.106,7500</t>
  </si>
  <si>
    <t>750.726,6000</t>
  </si>
  <si>
    <t>26/11/2030</t>
  </si>
  <si>
    <t>99.920,0000</t>
  </si>
  <si>
    <t>16/12/2025</t>
  </si>
  <si>
    <t>350.000,0000</t>
  </si>
  <si>
    <t>22/12/2025</t>
  </si>
  <si>
    <t>752.000,0000</t>
  </si>
  <si>
    <t>300.800,0000</t>
  </si>
  <si>
    <t>451.200,0000</t>
  </si>
  <si>
    <t>23/12/2025</t>
  </si>
  <si>
    <t>23/12/2026</t>
  </si>
  <si>
    <t>105.000,0000</t>
  </si>
  <si>
    <t>24/12/2025</t>
  </si>
  <si>
    <t>104.837,1400</t>
  </si>
  <si>
    <t>99.677,1400</t>
  </si>
  <si>
    <t>5.160,0000</t>
  </si>
  <si>
    <t>78.960,0000</t>
  </si>
  <si>
    <t>39.480,0000</t>
  </si>
  <si>
    <t>29/12/2025</t>
  </si>
  <si>
    <t>2.585.883,8800</t>
  </si>
  <si>
    <t>28/10/2026</t>
  </si>
  <si>
    <t>3.198.771,2850</t>
  </si>
  <si>
    <t>3.198.771,2800</t>
  </si>
  <si>
    <t>0,0050</t>
  </si>
  <si>
    <t>332.000,0000</t>
  </si>
  <si>
    <t>30/12/2025</t>
  </si>
  <si>
    <t>16/07/2027</t>
  </si>
  <si>
    <t>5.086.606,4022</t>
  </si>
  <si>
    <t>5.086.471,1000</t>
  </si>
  <si>
    <t>538.000,0000</t>
  </si>
  <si>
    <t>486.180,0000</t>
  </si>
  <si>
    <t>51.820,0000</t>
  </si>
  <si>
    <t>29/12/2026</t>
  </si>
  <si>
    <t>2.070.000,0000</t>
  </si>
  <si>
    <t>28/02/2027</t>
  </si>
  <si>
    <t>29.396.830,0300</t>
  </si>
  <si>
    <t>2.057.778,1300</t>
  </si>
  <si>
    <t>27.339.051,9000</t>
  </si>
  <si>
    <t>2.386.283,6000</t>
  </si>
  <si>
    <t>28/01/2026</t>
  </si>
  <si>
    <t>150.000,0000</t>
  </si>
  <si>
    <t>23/01/2026</t>
  </si>
  <si>
    <t>6.930,0000</t>
  </si>
  <si>
    <t>3.042,0000</t>
  </si>
  <si>
    <t>3.888,0000</t>
  </si>
  <si>
    <t>1.404.180,6600</t>
  </si>
  <si>
    <t>1.137.656,5400</t>
  </si>
  <si>
    <t>266.524,1200</t>
  </si>
  <si>
    <t>1.239,3200</t>
  </si>
  <si>
    <t>1.181,8200</t>
  </si>
  <si>
    <t>27/03/2026</t>
  </si>
  <si>
    <t>26/03/2031</t>
  </si>
  <si>
    <t>39.600.000,0000</t>
  </si>
  <si>
    <t>94.752,0000</t>
  </si>
  <si>
    <t>265.500,0000</t>
  </si>
  <si>
    <t>24/02/2026</t>
  </si>
  <si>
    <t>25/08/2026</t>
  </si>
  <si>
    <t>57.000,0000</t>
  </si>
  <si>
    <t>47.490,5000</t>
  </si>
  <si>
    <t>9.509,5000</t>
  </si>
  <si>
    <t>5.215.427,0000</t>
  </si>
  <si>
    <t>670.182,3700</t>
  </si>
  <si>
    <t>4.545.244,6300</t>
  </si>
  <si>
    <t>22/02/2026</t>
  </si>
  <si>
    <t>21/10/2026</t>
  </si>
  <si>
    <t>72.800,0000</t>
  </si>
  <si>
    <t>25/02/2026</t>
  </si>
  <si>
    <t>24/12/2026</t>
  </si>
  <si>
    <t>560.000,0000</t>
  </si>
  <si>
    <t>1.000.000,0000</t>
  </si>
  <si>
    <t>26/02/2026</t>
  </si>
  <si>
    <t>30/09/2026</t>
  </si>
  <si>
    <t>1.680.000,0000</t>
  </si>
  <si>
    <t>120.000,0000</t>
  </si>
  <si>
    <t>24/05/2026</t>
  </si>
  <si>
    <t>23/11/2026</t>
  </si>
  <si>
    <t>225.000,0000</t>
  </si>
  <si>
    <t>75.000,0000</t>
  </si>
  <si>
    <t>13/03/2026</t>
  </si>
  <si>
    <t>13/03/2027</t>
  </si>
  <si>
    <t>334.227,5300</t>
  </si>
  <si>
    <t>15.772,4700</t>
  </si>
  <si>
    <t>23/03/2026</t>
  </si>
  <si>
    <t>22/11/2026</t>
  </si>
  <si>
    <t>123.329,6300</t>
  </si>
  <si>
    <t>27/12/2027</t>
  </si>
  <si>
    <t>160.000,0000</t>
  </si>
  <si>
    <t>107.430,4800</t>
  </si>
  <si>
    <t>52.569,5200</t>
  </si>
  <si>
    <t>29/03/2026</t>
  </si>
  <si>
    <t>400.000,0000</t>
  </si>
  <si>
    <t>28/04/2026</t>
  </si>
  <si>
    <t>510.000,0000</t>
  </si>
  <si>
    <t>111.039,4800</t>
  </si>
  <si>
    <t>398.960,5200</t>
  </si>
  <si>
    <t>15/04/2026</t>
  </si>
  <si>
    <t>14/06/2027</t>
  </si>
  <si>
    <t>199.827,6000</t>
  </si>
  <si>
    <t>17/04/2026</t>
  </si>
  <si>
    <t>177.612,7000</t>
  </si>
  <si>
    <t>40.359,9100</t>
  </si>
  <si>
    <t>137.252,7900</t>
  </si>
  <si>
    <t>8.233,9200</t>
  </si>
  <si>
    <t>2.058,4800</t>
  </si>
  <si>
    <t>6.175,4400</t>
  </si>
  <si>
    <t>30/04/2026</t>
  </si>
  <si>
    <t>29/04/2027</t>
  </si>
  <si>
    <t>13.800,0000</t>
  </si>
  <si>
    <t>4.050,0000</t>
  </si>
  <si>
    <t>9.750,0000</t>
  </si>
  <si>
    <t>20/12/2026</t>
  </si>
  <si>
    <t>18.135,6000</t>
  </si>
  <si>
    <t>1.079,5000</t>
  </si>
  <si>
    <t>17.056,1000</t>
  </si>
  <si>
    <t>315.942,0000</t>
  </si>
  <si>
    <t>15/05/2026</t>
  </si>
  <si>
    <t>15/05/2031</t>
  </si>
  <si>
    <t>25.000,0000</t>
  </si>
  <si>
    <t>125.000,0000</t>
  </si>
  <si>
    <t>13/05/2026</t>
  </si>
  <si>
    <t>17/01/2027</t>
  </si>
  <si>
    <t>19/05/2026</t>
  </si>
  <si>
    <t>68.000,0000</t>
  </si>
  <si>
    <t>46.500,0000</t>
  </si>
  <si>
    <t>21.500,0000</t>
  </si>
  <si>
    <t>14/10/2026</t>
  </si>
  <si>
    <t>650.000,0000</t>
  </si>
  <si>
    <t>25/12/2026</t>
  </si>
  <si>
    <t>180.000,0000</t>
  </si>
  <si>
    <t>22/01/2027</t>
  </si>
  <si>
    <t>900.000,0000</t>
  </si>
  <si>
    <t>13/12/2026</t>
  </si>
  <si>
    <t>35.000,0000</t>
  </si>
  <si>
    <t>24.139.245,4400</t>
  </si>
  <si>
    <t>362.656,9400</t>
  </si>
  <si>
    <t>23.776.588,5000</t>
  </si>
  <si>
    <t>17/06/2026</t>
  </si>
  <si>
    <t>17/06/2029</t>
  </si>
  <si>
    <t>17/02/2027</t>
  </si>
  <si>
    <t>96.000,0000</t>
  </si>
  <si>
    <t>16/06/2026</t>
  </si>
  <si>
    <t>26/01/2027</t>
  </si>
  <si>
    <t>80.000,0000</t>
  </si>
  <si>
    <t>15/06/2026</t>
  </si>
  <si>
    <t>78.570,0000</t>
  </si>
  <si>
    <t>21.430,0000</t>
  </si>
  <si>
    <t>24/06/2026</t>
  </si>
  <si>
    <t>170.700,0000</t>
  </si>
  <si>
    <t>56.900,0000</t>
  </si>
  <si>
    <t>113.800,0000</t>
  </si>
  <si>
    <t>25/06/2026</t>
  </si>
  <si>
    <t>25/06/2029</t>
  </si>
  <si>
    <t>14.760,0000</t>
  </si>
  <si>
    <t>54.138.000,0000</t>
  </si>
  <si>
    <t>29/06/2026</t>
  </si>
  <si>
    <t>29/09/2026</t>
  </si>
  <si>
    <t>30/06/2026</t>
  </si>
  <si>
    <t>14.000.000,0000</t>
  </si>
  <si>
    <t>13.150.000,0000</t>
  </si>
  <si>
    <t>271.454,3200</t>
  </si>
  <si>
    <t>11.880,0000</t>
  </si>
  <si>
    <t>30/06/2027</t>
  </si>
  <si>
    <t>3.070.100,0000</t>
  </si>
  <si>
    <t>15.840,0000</t>
  </si>
  <si>
    <t>3.054.260,0000</t>
  </si>
  <si>
    <t>29/06/2031</t>
  </si>
  <si>
    <t>52.080,0000</t>
  </si>
  <si>
    <t>15/08/2027</t>
  </si>
  <si>
    <t>270.500,0000</t>
  </si>
  <si>
    <t>22/07/2026</t>
  </si>
  <si>
    <t>22/07/2031</t>
  </si>
  <si>
    <t>518.525,0000</t>
  </si>
  <si>
    <t>20/07/2026</t>
  </si>
  <si>
    <t>20/07/2027</t>
  </si>
  <si>
    <t>170.000,0000</t>
  </si>
  <si>
    <t>22/07/2027</t>
  </si>
  <si>
    <t>12.998,0000</t>
  </si>
  <si>
    <t>28/07/2027</t>
  </si>
  <si>
    <t>Valor Executado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</si>
</sst>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5" formatCode="&quot;R$&quot;\ #,##0.00"/>
    <numFmt numFmtId="166" formatCode="########0"/>
    <numFmt numFmtId="167" formatCode="####.###.###.##00000"/>
    <numFmt numFmtId="168" formatCode="####.###.###0000"/>
    <numFmt numFmtId="173" formatCode="_-* #,##0.000000_-;\-* #,##0.000000_-;_-* &quot;-&quot;??_-;_-@_-"/>
    <numFmt numFmtId="174" formatCode="_-* #,##0.0000000_-;\-* #,##0.00000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2" fillId="34" borderId="12" xfId="0" applyFont="1" applyFill="1" applyBorder="1" applyAlignment="1">
      <alignment horizontal="right"/>
    </xf>
    <xf numFmtId="0" fontId="22" fillId="34" borderId="13" xfId="0" applyFont="1" applyFill="1" applyBorder="1" applyAlignment="1">
      <alignment horizontal="right"/>
    </xf>
    <xf numFmtId="0" fontId="22" fillId="34" borderId="13" xfId="0" applyFont="1" applyFill="1" applyBorder="1"/>
    <xf numFmtId="166" fontId="21" fillId="0" borderId="14" xfId="0" applyNumberFormat="1" applyFont="1" applyBorder="1" applyAlignment="1">
      <alignment horizontal="right"/>
    </xf>
    <xf numFmtId="0" fontId="21" fillId="0" borderId="15" xfId="0" applyFont="1" applyBorder="1"/>
    <xf numFmtId="167" fontId="21" fillId="0" borderId="15" xfId="0" applyNumberFormat="1" applyFont="1" applyBorder="1" applyAlignment="1">
      <alignment horizontal="right"/>
    </xf>
    <xf numFmtId="168" fontId="21" fillId="0" borderId="15" xfId="0" applyNumberFormat="1" applyFont="1" applyBorder="1" applyAlignment="1">
      <alignment horizontal="right"/>
    </xf>
    <xf numFmtId="14" fontId="21" fillId="0" borderId="15" xfId="0" applyNumberFormat="1" applyFont="1" applyBorder="1" applyAlignment="1">
      <alignment horizontal="right"/>
    </xf>
    <xf numFmtId="166" fontId="21" fillId="0" borderId="16" xfId="0" applyNumberFormat="1" applyFont="1" applyBorder="1" applyAlignment="1">
      <alignment horizontal="right"/>
    </xf>
    <xf numFmtId="0" fontId="21" fillId="0" borderId="17" xfId="0" applyFont="1" applyBorder="1"/>
    <xf numFmtId="167" fontId="21" fillId="0" borderId="17" xfId="0" applyNumberFormat="1" applyFont="1" applyBorder="1" applyAlignment="1">
      <alignment horizontal="right"/>
    </xf>
    <xf numFmtId="168" fontId="21" fillId="0" borderId="17" xfId="0" applyNumberFormat="1" applyFont="1" applyBorder="1" applyAlignment="1">
      <alignment horizontal="right"/>
    </xf>
    <xf numFmtId="14" fontId="21" fillId="0" borderId="17" xfId="0" applyNumberFormat="1" applyFont="1" applyBorder="1" applyAlignment="1">
      <alignment horizontal="right"/>
    </xf>
    <xf numFmtId="166" fontId="21" fillId="0" borderId="18" xfId="0" applyNumberFormat="1" applyFont="1" applyBorder="1" applyAlignment="1">
      <alignment horizontal="right"/>
    </xf>
    <xf numFmtId="0" fontId="21" fillId="0" borderId="19" xfId="0" applyFont="1" applyBorder="1"/>
    <xf numFmtId="167" fontId="21" fillId="0" borderId="19" xfId="0" applyNumberFormat="1" applyFont="1" applyBorder="1" applyAlignment="1">
      <alignment horizontal="right"/>
    </xf>
    <xf numFmtId="168" fontId="21" fillId="0" borderId="19" xfId="0" applyNumberFormat="1" applyFont="1" applyBorder="1" applyAlignment="1">
      <alignment horizontal="right"/>
    </xf>
    <xf numFmtId="14" fontId="21" fillId="0" borderId="19" xfId="0" applyNumberFormat="1" applyFont="1" applyBorder="1" applyAlignment="1">
      <alignment horizontal="right"/>
    </xf>
    <xf numFmtId="0" fontId="21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7" xfId="0" applyFont="1" applyBorder="1" applyAlignment="1">
      <alignment wrapText="1"/>
    </xf>
    <xf numFmtId="0" fontId="21" fillId="0" borderId="19" xfId="0" applyFont="1" applyBorder="1" applyAlignment="1">
      <alignment wrapText="1"/>
    </xf>
    <xf numFmtId="43" fontId="20" fillId="33" borderId="10" xfId="42" applyNumberFormat="1" applyFont="1" applyFill="1" applyBorder="1" applyAlignment="1">
      <alignment horizontal="center" vertical="center" wrapText="1"/>
    </xf>
    <xf numFmtId="43" fontId="19" fillId="0" borderId="0" xfId="42" applyNumberFormat="1" applyFont="1" applyAlignment="1">
      <alignment horizontal="center" vertical="center"/>
    </xf>
    <xf numFmtId="173" fontId="20" fillId="33" borderId="10" xfId="42" applyNumberFormat="1" applyFont="1" applyFill="1" applyBorder="1" applyAlignment="1">
      <alignment horizontal="center" vertical="center" wrapText="1"/>
    </xf>
    <xf numFmtId="174" fontId="20" fillId="33" borderId="10" xfId="42" applyNumberFormat="1" applyFont="1" applyFill="1" applyBorder="1" applyAlignment="1">
      <alignment horizontal="center" vertical="center" wrapText="1"/>
    </xf>
    <xf numFmtId="174" fontId="19" fillId="0" borderId="0" xfId="42" applyNumberFormat="1" applyFont="1" applyAlignment="1">
      <alignment vertical="center"/>
    </xf>
    <xf numFmtId="173" fontId="19" fillId="0" borderId="0" xfId="42" applyNumberFormat="1" applyFont="1" applyAlignment="1">
      <alignment horizontal="center" vertical="center"/>
    </xf>
    <xf numFmtId="165" fontId="21" fillId="0" borderId="17" xfId="42" applyNumberFormat="1" applyFont="1" applyBorder="1" applyAlignment="1">
      <alignment horizontal="right"/>
    </xf>
    <xf numFmtId="165" fontId="21" fillId="0" borderId="17" xfId="0" applyNumberFormat="1" applyFont="1" applyBorder="1" applyAlignment="1">
      <alignment horizontal="right"/>
    </xf>
    <xf numFmtId="165" fontId="21" fillId="0" borderId="19" xfId="0" applyNumberFormat="1" applyFont="1" applyBorder="1" applyAlignment="1">
      <alignment horizontal="right"/>
    </xf>
    <xf numFmtId="166" fontId="21" fillId="0" borderId="16" xfId="0" applyNumberFormat="1" applyFont="1" applyBorder="1" applyAlignment="1">
      <alignment horizontal="center"/>
    </xf>
    <xf numFmtId="166" fontId="21" fillId="0" borderId="18" xfId="0" applyNumberFormat="1" applyFont="1" applyBorder="1" applyAlignment="1">
      <alignment horizontal="center"/>
    </xf>
  </cellXfs>
  <cellStyles count="43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6" xr:uid="{41C93333-DC95-4364-84D3-1FE1440E72E6}"/>
    <cellStyle name="60% - Ênfase2 2" xfId="37" xr:uid="{D77E6C45-B60C-413A-9253-EAFEB1C8A84A}"/>
    <cellStyle name="60% - Ênfase3 2" xfId="38" xr:uid="{ED1C04E4-3AB1-4D50-81EA-F880B3DBDADB}"/>
    <cellStyle name="60% - Ênfase4 2" xfId="39" xr:uid="{B4E7979D-A4FB-4427-A176-98E5CABF7FC0}"/>
    <cellStyle name="60% - Ênfase5 2" xfId="40" xr:uid="{5FC810A3-19F4-4C42-96E6-5F412C310C58}"/>
    <cellStyle name="60% - Ênfase6 2" xfId="41" xr:uid="{E3DBA739-99C5-4F0A-AB5A-55AD41781673}"/>
    <cellStyle name="Bom" xfId="5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7" builtinId="20" customBuiltin="1"/>
    <cellStyle name="Neutro 2" xfId="35" xr:uid="{F324C34F-DA4E-4BE1-8791-79B6A8ED5896}"/>
    <cellStyle name="Normal" xfId="0" builtinId="0"/>
    <cellStyle name="Nota" xfId="13" builtinId="10" customBuiltin="1"/>
    <cellStyle name="Ruim" xfId="6" builtinId="27" customBuiltin="1"/>
    <cellStyle name="Saída" xfId="8" builtinId="21" customBuiltin="1"/>
    <cellStyle name="Texto de Aviso" xfId="12" builtinId="11" customBuiltin="1"/>
    <cellStyle name="Texto Explicativo" xfId="14" builtinId="53" customBuiltin="1"/>
    <cellStyle name="Título 1" xfId="1" builtinId="16" customBuiltin="1"/>
    <cellStyle name="Título 2" xfId="2" builtinId="17" customBuiltin="1"/>
    <cellStyle name="Título 3" xfId="3" builtinId="18" customBuiltin="1"/>
    <cellStyle name="Título 4" xfId="4" builtinId="19" customBuiltin="1"/>
    <cellStyle name="Título 5" xfId="34" xr:uid="{56137074-11D6-4CAD-9AD3-643F441AD5BE}"/>
    <cellStyle name="Total" xfId="15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4D02-506F-4CD5-A8EE-2CB5CF4958E5}">
  <sheetPr>
    <pageSetUpPr fitToPage="1"/>
  </sheetPr>
  <dimension ref="A1:J278"/>
  <sheetViews>
    <sheetView zoomScaleNormal="100" workbookViewId="0">
      <pane xSplit="8" ySplit="4" topLeftCell="I246" activePane="bottomRight" state="frozen"/>
      <selection pane="topRight" activeCell="G1" sqref="G1"/>
      <selection pane="bottomLeft" activeCell="A5" sqref="A5"/>
      <selection pane="bottomRight" activeCell="B1" sqref="B1:H278"/>
    </sheetView>
  </sheetViews>
  <sheetFormatPr defaultColWidth="8.7265625" defaultRowHeight="14.5" x14ac:dyDescent="0.35"/>
  <cols>
    <col min="1" max="1" width="0.81640625" style="2" customWidth="1"/>
    <col min="2" max="2" width="15.54296875" style="5" customWidth="1"/>
    <col min="3" max="3" width="63.90625" style="6" customWidth="1"/>
    <col min="4" max="4" width="10.81640625" style="5" customWidth="1"/>
    <col min="5" max="5" width="13.453125" style="5" customWidth="1"/>
    <col min="6" max="6" width="15.1796875" style="35" customWidth="1"/>
    <col min="7" max="7" width="16.26953125" style="31" customWidth="1"/>
    <col min="8" max="8" width="19.81640625" style="34" customWidth="1"/>
    <col min="9" max="9" width="1.81640625" style="3" customWidth="1"/>
    <col min="10" max="16384" width="8.7265625" style="2"/>
  </cols>
  <sheetData>
    <row r="1" spans="1:10" s="1" customFormat="1" x14ac:dyDescent="0.35">
      <c r="A1" s="2"/>
      <c r="B1" s="26" t="s">
        <v>5</v>
      </c>
      <c r="C1" s="27"/>
      <c r="D1" s="27"/>
      <c r="E1" s="27"/>
      <c r="F1" s="27"/>
      <c r="G1" s="27"/>
      <c r="H1" s="27"/>
      <c r="I1" s="3"/>
      <c r="J1" s="2"/>
    </row>
    <row r="2" spans="1:10" ht="8.25" customHeight="1" x14ac:dyDescent="0.35">
      <c r="B2" s="27"/>
      <c r="C2" s="27"/>
      <c r="D2" s="27"/>
      <c r="E2" s="27"/>
      <c r="F2" s="27"/>
      <c r="G2" s="27"/>
      <c r="H2" s="27"/>
    </row>
    <row r="3" spans="1:10" ht="9.75" customHeight="1" x14ac:dyDescent="0.35">
      <c r="B3" s="27"/>
      <c r="C3" s="27"/>
      <c r="D3" s="27"/>
      <c r="E3" s="27"/>
      <c r="F3" s="27"/>
      <c r="G3" s="27"/>
      <c r="H3" s="27"/>
    </row>
    <row r="4" spans="1:10" ht="30.65" customHeight="1" x14ac:dyDescent="0.35">
      <c r="B4" s="4" t="s">
        <v>1</v>
      </c>
      <c r="C4" s="4" t="s">
        <v>4</v>
      </c>
      <c r="D4" s="4" t="s">
        <v>10</v>
      </c>
      <c r="E4" s="4" t="s">
        <v>9</v>
      </c>
      <c r="F4" s="32" t="s">
        <v>2</v>
      </c>
      <c r="G4" s="30" t="s">
        <v>3</v>
      </c>
      <c r="H4" s="33" t="s">
        <v>0</v>
      </c>
    </row>
    <row r="5" spans="1:10" x14ac:dyDescent="0.35">
      <c r="B5" s="39">
        <v>10099</v>
      </c>
      <c r="C5" s="28" t="str">
        <f>"NUTRIBOM EMPREENDIMENTOS IMOBILIARIOS LTDA"</f>
        <v>NUTRIBOM EMPREENDIMENTOS IMOBILIARIOS LTDA</v>
      </c>
      <c r="D5" s="19">
        <v>43223</v>
      </c>
      <c r="E5" s="19">
        <v>46846</v>
      </c>
      <c r="F5" s="36">
        <v>92530000</v>
      </c>
      <c r="G5" s="37">
        <v>0</v>
      </c>
      <c r="H5" s="37">
        <v>92530000</v>
      </c>
    </row>
    <row r="6" spans="1:10" x14ac:dyDescent="0.35">
      <c r="B6" s="39">
        <v>10457</v>
      </c>
      <c r="C6" s="28" t="str">
        <f>"VENTURA PRODUCOES AUDIOVISUAIS LTDA"</f>
        <v>VENTURA PRODUCOES AUDIOVISUAIS LTDA</v>
      </c>
      <c r="D6" s="19" t="s">
        <v>50</v>
      </c>
      <c r="E6" s="19" t="s">
        <v>51</v>
      </c>
      <c r="F6" s="36">
        <v>680000</v>
      </c>
      <c r="G6" s="37">
        <v>680000</v>
      </c>
      <c r="H6" s="37">
        <v>0</v>
      </c>
    </row>
    <row r="7" spans="1:10" x14ac:dyDescent="0.35">
      <c r="B7" s="39">
        <v>10606</v>
      </c>
      <c r="C7" s="28" t="str">
        <f>"RMX CONSERVADORA EIRELI  EPP"</f>
        <v>RMX CONSERVADORA EIRELI  EPP</v>
      </c>
      <c r="D7" s="19">
        <v>43618</v>
      </c>
      <c r="E7" s="19">
        <v>45079</v>
      </c>
      <c r="F7" s="36">
        <v>1150941.47</v>
      </c>
      <c r="G7" s="37">
        <v>1068829.1399999999</v>
      </c>
      <c r="H7" s="37">
        <v>82112.33</v>
      </c>
    </row>
    <row r="8" spans="1:10" x14ac:dyDescent="0.35">
      <c r="B8" s="39">
        <v>10876</v>
      </c>
      <c r="C8" s="28" t="str">
        <f>"JULIA PERENCIN JUNQUEIRA  MEI"</f>
        <v>JULIA PERENCIN JUNQUEIRA  MEI</v>
      </c>
      <c r="D8" s="19" t="s">
        <v>56</v>
      </c>
      <c r="E8" s="19" t="s">
        <v>57</v>
      </c>
      <c r="F8" s="36">
        <v>336665.7</v>
      </c>
      <c r="G8" s="37">
        <v>0</v>
      </c>
      <c r="H8" s="37">
        <v>336665.7</v>
      </c>
    </row>
    <row r="9" spans="1:10" x14ac:dyDescent="0.35">
      <c r="B9" s="39">
        <v>11072</v>
      </c>
      <c r="C9" s="28" t="str">
        <f>"AGUA MINERAL NATURAL FONTE E VIDA LTDA"</f>
        <v>AGUA MINERAL NATURAL FONTE E VIDA LTDA</v>
      </c>
      <c r="D9" s="19" t="s">
        <v>61</v>
      </c>
      <c r="E9" s="19" t="s">
        <v>62</v>
      </c>
      <c r="F9" s="36">
        <v>44102.09</v>
      </c>
      <c r="G9" s="37">
        <v>28383.66</v>
      </c>
      <c r="H9" s="37">
        <v>15718.43</v>
      </c>
    </row>
    <row r="10" spans="1:10" x14ac:dyDescent="0.35">
      <c r="B10" s="39">
        <v>11084</v>
      </c>
      <c r="C10" s="28" t="str">
        <f>"PERFIL ENGENHARIA LTDA"</f>
        <v>PERFIL ENGENHARIA LTDA</v>
      </c>
      <c r="D10" s="19">
        <v>44147</v>
      </c>
      <c r="E10" s="19" t="s">
        <v>64</v>
      </c>
      <c r="F10" s="36">
        <v>70157372.079999998</v>
      </c>
      <c r="G10" s="37">
        <v>0</v>
      </c>
      <c r="H10" s="37">
        <v>70157372.079999998</v>
      </c>
    </row>
    <row r="11" spans="1:10" x14ac:dyDescent="0.35">
      <c r="B11" s="39">
        <v>11136</v>
      </c>
      <c r="C11" s="28" t="str">
        <f>"AGENCIA DE INTEGRACAO EMPRESA ESCOLA LTDA"</f>
        <v>AGENCIA DE INTEGRACAO EMPRESA ESCOLA LTDA</v>
      </c>
      <c r="D11" s="19" t="s">
        <v>68</v>
      </c>
      <c r="E11" s="19" t="s">
        <v>69</v>
      </c>
      <c r="F11" s="36">
        <v>33832.800000000003</v>
      </c>
      <c r="G11" s="37">
        <v>22334.27</v>
      </c>
      <c r="H11" s="37">
        <v>11498.53</v>
      </c>
    </row>
    <row r="12" spans="1:10" x14ac:dyDescent="0.35">
      <c r="B12" s="39">
        <v>11140</v>
      </c>
      <c r="C12" s="28" t="str">
        <f>"GONTIJO CALDAS  FLEURY ADVOGADOS ASSOCIADOS"</f>
        <v>GONTIJO CALDAS  FLEURY ADVOGADOS ASSOCIADOS</v>
      </c>
      <c r="D12" s="19" t="s">
        <v>73</v>
      </c>
      <c r="E12" s="19" t="s">
        <v>74</v>
      </c>
      <c r="F12" s="36">
        <v>40000</v>
      </c>
      <c r="G12" s="37">
        <v>32000</v>
      </c>
      <c r="H12" s="37">
        <v>8000</v>
      </c>
    </row>
    <row r="13" spans="1:10" x14ac:dyDescent="0.35">
      <c r="B13" s="39">
        <v>11154</v>
      </c>
      <c r="C13" s="28" t="str">
        <f>"SECRETARIA DE ESTADO DE GOVERNO"</f>
        <v>SECRETARIA DE ESTADO DE GOVERNO</v>
      </c>
      <c r="D13" s="19" t="s">
        <v>78</v>
      </c>
      <c r="E13" s="19" t="s">
        <v>79</v>
      </c>
      <c r="F13" s="36">
        <v>178028.48</v>
      </c>
      <c r="G13" s="37">
        <v>25067.84</v>
      </c>
      <c r="H13" s="37">
        <v>152960.64000000001</v>
      </c>
    </row>
    <row r="14" spans="1:10" x14ac:dyDescent="0.35">
      <c r="B14" s="39">
        <v>11155</v>
      </c>
      <c r="C14" s="28" t="str">
        <f>"GONTIJO CALDAS  FLEURY ADVOGADOS ASSOCIADOS"</f>
        <v>GONTIJO CALDAS  FLEURY ADVOGADOS ASSOCIADOS</v>
      </c>
      <c r="D14" s="19" t="s">
        <v>80</v>
      </c>
      <c r="E14" s="19" t="s">
        <v>74</v>
      </c>
      <c r="F14" s="36">
        <v>40000</v>
      </c>
      <c r="G14" s="37">
        <v>32000</v>
      </c>
      <c r="H14" s="37">
        <v>8000</v>
      </c>
    </row>
    <row r="15" spans="1:10" x14ac:dyDescent="0.35">
      <c r="B15" s="39">
        <v>11156</v>
      </c>
      <c r="C15" s="28" t="str">
        <f>"JAM SOLUCOES PREDIAIS LTDA"</f>
        <v>JAM SOLUCOES PREDIAIS LTDA</v>
      </c>
      <c r="D15" s="19">
        <v>44204</v>
      </c>
      <c r="E15" s="19">
        <v>46030</v>
      </c>
      <c r="F15" s="36">
        <v>9111207.0700000003</v>
      </c>
      <c r="G15" s="37">
        <v>8319725.4100000001</v>
      </c>
      <c r="H15" s="37">
        <v>791481.66</v>
      </c>
    </row>
    <row r="16" spans="1:10" x14ac:dyDescent="0.35">
      <c r="B16" s="39">
        <v>11157</v>
      </c>
      <c r="C16" s="28" t="str">
        <f>"TRIUNFO SERVICOS LTDA ME"</f>
        <v>TRIUNFO SERVICOS LTDA ME</v>
      </c>
      <c r="D16" s="19">
        <v>44264</v>
      </c>
      <c r="E16" s="19">
        <v>46090</v>
      </c>
      <c r="F16" s="36">
        <v>3037289.45</v>
      </c>
      <c r="G16" s="37">
        <v>2941930.46</v>
      </c>
      <c r="H16" s="37">
        <v>95358.99</v>
      </c>
    </row>
    <row r="17" spans="2:8" x14ac:dyDescent="0.35">
      <c r="B17" s="39">
        <v>11158</v>
      </c>
      <c r="C17" s="28" t="str">
        <f>"TRIUNFO SERVICOS LTDA ME"</f>
        <v>TRIUNFO SERVICOS LTDA ME</v>
      </c>
      <c r="D17" s="19">
        <v>44264</v>
      </c>
      <c r="E17" s="19">
        <v>46090</v>
      </c>
      <c r="F17" s="36">
        <v>435114.22</v>
      </c>
      <c r="G17" s="37">
        <v>419845.46</v>
      </c>
      <c r="H17" s="37">
        <v>15268.76</v>
      </c>
    </row>
    <row r="18" spans="2:8" x14ac:dyDescent="0.35">
      <c r="B18" s="39">
        <v>11159</v>
      </c>
      <c r="C18" s="28" t="str">
        <f>"TRIUNFO SERVICOS LTDA ME"</f>
        <v>TRIUNFO SERVICOS LTDA ME</v>
      </c>
      <c r="D18" s="19">
        <v>44264</v>
      </c>
      <c r="E18" s="19">
        <v>46090</v>
      </c>
      <c r="F18" s="36">
        <v>603438.67000000004</v>
      </c>
      <c r="G18" s="37">
        <v>582903.43999999994</v>
      </c>
      <c r="H18" s="37">
        <v>20535.23</v>
      </c>
    </row>
    <row r="19" spans="2:8" x14ac:dyDescent="0.35">
      <c r="B19" s="39">
        <v>11160</v>
      </c>
      <c r="C19" s="28" t="str">
        <f>"TOTVS SA"</f>
        <v>TOTVS SA</v>
      </c>
      <c r="D19" s="16" t="s">
        <v>96</v>
      </c>
      <c r="E19" s="25" t="s">
        <v>79</v>
      </c>
      <c r="F19" s="36">
        <v>1268877.04</v>
      </c>
      <c r="G19" s="37">
        <v>985665.95</v>
      </c>
      <c r="H19" s="37">
        <v>283211.09000000003</v>
      </c>
    </row>
    <row r="20" spans="2:8" x14ac:dyDescent="0.35">
      <c r="B20" s="39">
        <v>11196</v>
      </c>
      <c r="C20" s="28" t="str">
        <f>"TRIUNFO SERVICOS LTDA ME"</f>
        <v>TRIUNFO SERVICOS LTDA ME</v>
      </c>
      <c r="D20" s="19" t="s">
        <v>100</v>
      </c>
      <c r="E20" s="19" t="s">
        <v>101</v>
      </c>
      <c r="F20" s="36">
        <v>1947914.36</v>
      </c>
      <c r="G20" s="37">
        <v>1775440.96</v>
      </c>
      <c r="H20" s="37">
        <v>172473.4</v>
      </c>
    </row>
    <row r="21" spans="2:8" x14ac:dyDescent="0.35">
      <c r="B21" s="39">
        <v>11205</v>
      </c>
      <c r="C21" s="28" t="str">
        <f>"PRODEMGE  CIA DE TECNOL DA INFORMACAO DE MG"</f>
        <v>PRODEMGE  CIA DE TECNOL DA INFORMACAO DE MG</v>
      </c>
      <c r="D21" s="19">
        <v>44652</v>
      </c>
      <c r="E21" s="19">
        <v>46478</v>
      </c>
      <c r="F21" s="36">
        <v>9617723.4600000009</v>
      </c>
      <c r="G21" s="37">
        <v>5263377.71</v>
      </c>
      <c r="H21" s="37">
        <v>4354345.75</v>
      </c>
    </row>
    <row r="22" spans="2:8" x14ac:dyDescent="0.35">
      <c r="B22" s="39">
        <v>11210</v>
      </c>
      <c r="C22" s="28" t="str">
        <f>"MATRIX COMERCIALIZADORA DE ENERGIA ELETR"</f>
        <v>MATRIX COMERCIALIZADORA DE ENERGIA ELETR</v>
      </c>
      <c r="D22" s="19" t="s">
        <v>108</v>
      </c>
      <c r="E22" s="19" t="s">
        <v>109</v>
      </c>
      <c r="F22" s="36">
        <v>10686200</v>
      </c>
      <c r="G22" s="37">
        <v>4430340.0999999996</v>
      </c>
      <c r="H22" s="37">
        <v>6255859.9000000004</v>
      </c>
    </row>
    <row r="23" spans="2:8" x14ac:dyDescent="0.35">
      <c r="B23" s="39">
        <v>11211</v>
      </c>
      <c r="C23" s="28" t="str">
        <f>"CORREIA LIMA ENGENHARIA LTDA"</f>
        <v>CORREIA LIMA ENGENHARIA LTDA</v>
      </c>
      <c r="D23" s="19" t="s">
        <v>111</v>
      </c>
      <c r="E23" s="19" t="s">
        <v>15</v>
      </c>
      <c r="F23" s="36">
        <v>24900</v>
      </c>
      <c r="G23" s="37">
        <v>24900</v>
      </c>
      <c r="H23" s="37">
        <v>0</v>
      </c>
    </row>
    <row r="24" spans="2:8" x14ac:dyDescent="0.35">
      <c r="B24" s="39">
        <v>11215</v>
      </c>
      <c r="C24" s="28" t="str">
        <f>"FLD SA"</f>
        <v>FLD SA</v>
      </c>
      <c r="D24" s="19" t="s">
        <v>115</v>
      </c>
      <c r="E24" s="19" t="s">
        <v>116</v>
      </c>
      <c r="F24" s="36">
        <v>23278165.5</v>
      </c>
      <c r="G24" s="37">
        <v>15489991.33</v>
      </c>
      <c r="H24" s="37">
        <v>7788174.1699999999</v>
      </c>
    </row>
    <row r="25" spans="2:8" x14ac:dyDescent="0.35">
      <c r="B25" s="39">
        <v>11217</v>
      </c>
      <c r="C25" s="28" t="str">
        <f>"PRIME CONSULTORIA E ASSESSORIA EMPRESARIAL"</f>
        <v>PRIME CONSULTORIA E ASSESSORIA EMPRESARIAL</v>
      </c>
      <c r="D25" s="19" t="s">
        <v>120</v>
      </c>
      <c r="E25" s="19" t="s">
        <v>121</v>
      </c>
      <c r="F25" s="36">
        <v>522522.05</v>
      </c>
      <c r="G25" s="37">
        <v>456938.1</v>
      </c>
      <c r="H25" s="37">
        <v>65583.95</v>
      </c>
    </row>
    <row r="26" spans="2:8" x14ac:dyDescent="0.35">
      <c r="B26" s="39">
        <v>11218</v>
      </c>
      <c r="C26" s="28" t="str">
        <f>"SANTANA RASTREAMENTO E MONITORAMENTO LTDA"</f>
        <v>SANTANA RASTREAMENTO E MONITORAMENTO LTDA</v>
      </c>
      <c r="D26" s="19" t="s">
        <v>111</v>
      </c>
      <c r="E26" s="19" t="s">
        <v>125</v>
      </c>
      <c r="F26" s="36">
        <v>44668</v>
      </c>
      <c r="G26" s="37">
        <v>36248</v>
      </c>
      <c r="H26" s="37">
        <v>8420</v>
      </c>
    </row>
    <row r="27" spans="2:8" x14ac:dyDescent="0.35">
      <c r="B27" s="39">
        <v>11221</v>
      </c>
      <c r="C27" s="28" t="str">
        <f>"JULIO CESAR DE LIMA NETO"</f>
        <v>JULIO CESAR DE LIMA NETO</v>
      </c>
      <c r="D27" s="19" t="s">
        <v>129</v>
      </c>
      <c r="E27" s="19" t="s">
        <v>130</v>
      </c>
      <c r="F27" s="36">
        <v>13831.1</v>
      </c>
      <c r="G27" s="37">
        <v>12275.32</v>
      </c>
      <c r="H27" s="37">
        <v>1555.78</v>
      </c>
    </row>
    <row r="28" spans="2:8" x14ac:dyDescent="0.35">
      <c r="B28" s="39">
        <v>11225</v>
      </c>
      <c r="C28" s="28" t="str">
        <f>"CENTRO DE DESENVOLVIMENTO DA TECNOLOGIA NUCLEAR"</f>
        <v>CENTRO DE DESENVOLVIMENTO DA TECNOLOGIA NUCLEAR</v>
      </c>
      <c r="D28" s="19">
        <v>44713</v>
      </c>
      <c r="E28" s="19">
        <v>52018</v>
      </c>
      <c r="F28" s="36">
        <v>300000</v>
      </c>
      <c r="G28" s="37">
        <v>300000</v>
      </c>
      <c r="H28" s="37">
        <v>0</v>
      </c>
    </row>
    <row r="29" spans="2:8" x14ac:dyDescent="0.35">
      <c r="B29" s="39">
        <v>11233</v>
      </c>
      <c r="C29" s="28" t="str">
        <f>"LEGAL CONTROLE TECNOLOGIA PARA GESTAO EMPRESARIAL LTDA"</f>
        <v>LEGAL CONTROLE TECNOLOGIA PARA GESTAO EMPRESARIAL LTDA</v>
      </c>
      <c r="D29" s="19" t="s">
        <v>135</v>
      </c>
      <c r="E29" s="19" t="s">
        <v>136</v>
      </c>
      <c r="F29" s="36">
        <v>46340.17</v>
      </c>
      <c r="G29" s="37">
        <v>39987.339999999997</v>
      </c>
      <c r="H29" s="37">
        <v>6352.83</v>
      </c>
    </row>
    <row r="30" spans="2:8" x14ac:dyDescent="0.35">
      <c r="B30" s="39">
        <v>11241</v>
      </c>
      <c r="C30" s="28" t="str">
        <f>"MAXIMO INFORMADOR JURIDICO LTDA"</f>
        <v>MAXIMO INFORMADOR JURIDICO LTDA</v>
      </c>
      <c r="D30" s="19">
        <v>44777</v>
      </c>
      <c r="E30" s="19">
        <v>46603</v>
      </c>
      <c r="F30" s="36">
        <v>15918.12</v>
      </c>
      <c r="G30" s="37">
        <v>13364.8</v>
      </c>
      <c r="H30" s="37">
        <v>2553.3200000000002</v>
      </c>
    </row>
    <row r="31" spans="2:8" x14ac:dyDescent="0.35">
      <c r="B31" s="39">
        <v>11243</v>
      </c>
      <c r="C31" s="28" t="str">
        <f>"CEMIG DISTRIBUICAO S A"</f>
        <v>CEMIG DISTRIBUICAO S A</v>
      </c>
      <c r="D31" s="19" t="s">
        <v>143</v>
      </c>
      <c r="E31" s="19" t="s">
        <v>144</v>
      </c>
      <c r="F31" s="36">
        <v>850000</v>
      </c>
      <c r="G31" s="37">
        <v>391019.01</v>
      </c>
      <c r="H31" s="37">
        <v>458980.99</v>
      </c>
    </row>
    <row r="32" spans="2:8" x14ac:dyDescent="0.35">
      <c r="B32" s="39">
        <v>11247</v>
      </c>
      <c r="C32" s="28" t="str">
        <f>"MULTI CULT PROMOCOES LTDA"</f>
        <v>MULTI CULT PROMOCOES LTDA</v>
      </c>
      <c r="D32" s="19">
        <v>44685</v>
      </c>
      <c r="E32" s="19">
        <v>46481</v>
      </c>
      <c r="F32" s="36">
        <v>953640</v>
      </c>
      <c r="G32" s="37">
        <v>0</v>
      </c>
      <c r="H32" s="37">
        <v>953640</v>
      </c>
    </row>
    <row r="33" spans="2:8" x14ac:dyDescent="0.35">
      <c r="B33" s="39">
        <v>11260</v>
      </c>
      <c r="C33" s="28" t="str">
        <f>"DF STAMATO E CIA LTDA"</f>
        <v>DF STAMATO E CIA LTDA</v>
      </c>
      <c r="D33" s="19">
        <v>44840</v>
      </c>
      <c r="E33" s="19">
        <v>46666</v>
      </c>
      <c r="F33" s="36">
        <v>126113.64</v>
      </c>
      <c r="G33" s="37">
        <v>98740.21</v>
      </c>
      <c r="H33" s="37">
        <v>27373.43</v>
      </c>
    </row>
    <row r="34" spans="2:8" ht="29" x14ac:dyDescent="0.35">
      <c r="B34" s="39">
        <v>11272</v>
      </c>
      <c r="C34" s="28" t="str">
        <f>"GREENSTONE DESENVOLVIMENTO E PROCESSAMENTO DE DADOS MINERAIS LTDA  ME"</f>
        <v>GREENSTONE DESENVOLVIMENTO E PROCESSAMENTO DE DADOS MINERAIS LTDA  ME</v>
      </c>
      <c r="D34" s="19" t="s">
        <v>153</v>
      </c>
      <c r="E34" s="19" t="s">
        <v>154</v>
      </c>
      <c r="F34" s="36">
        <v>126169.89</v>
      </c>
      <c r="G34" s="37">
        <v>106566.07</v>
      </c>
      <c r="H34" s="37">
        <v>19603.82</v>
      </c>
    </row>
    <row r="35" spans="2:8" x14ac:dyDescent="0.35">
      <c r="B35" s="39">
        <v>11276</v>
      </c>
      <c r="C35" s="28" t="str">
        <f>"PINHEIRO NETO ADVOGADOS"</f>
        <v>PINHEIRO NETO ADVOGADOS</v>
      </c>
      <c r="D35" s="19" t="s">
        <v>158</v>
      </c>
      <c r="E35" s="19" t="s">
        <v>159</v>
      </c>
      <c r="F35" s="36">
        <v>2175000</v>
      </c>
      <c r="G35" s="37">
        <v>167100</v>
      </c>
      <c r="H35" s="37">
        <v>2007900</v>
      </c>
    </row>
    <row r="36" spans="2:8" x14ac:dyDescent="0.35">
      <c r="B36" s="39">
        <v>11280</v>
      </c>
      <c r="C36" s="28" t="str">
        <f>"TRIVALE ADMINISTRACAO LTDA"</f>
        <v>TRIVALE ADMINISTRACAO LTDA</v>
      </c>
      <c r="D36" s="19">
        <v>44781</v>
      </c>
      <c r="E36" s="19">
        <v>46607</v>
      </c>
      <c r="F36" s="36">
        <v>1894641.2</v>
      </c>
      <c r="G36" s="37">
        <v>1212150.48</v>
      </c>
      <c r="H36" s="37">
        <v>682490.72</v>
      </c>
    </row>
    <row r="37" spans="2:8" x14ac:dyDescent="0.35">
      <c r="B37" s="39">
        <v>11282</v>
      </c>
      <c r="C37" s="28" t="str">
        <f>"MOVE MAIS MEIOS DE PAGAMENTO LTDA"</f>
        <v>MOVE MAIS MEIOS DE PAGAMENTO LTDA</v>
      </c>
      <c r="D37" s="19" t="s">
        <v>166</v>
      </c>
      <c r="E37" s="19" t="s">
        <v>167</v>
      </c>
      <c r="F37" s="36">
        <v>59154</v>
      </c>
      <c r="G37" s="37">
        <v>37305.410000000003</v>
      </c>
      <c r="H37" s="37">
        <v>21848.59</v>
      </c>
    </row>
    <row r="38" spans="2:8" x14ac:dyDescent="0.35">
      <c r="B38" s="39">
        <v>11283</v>
      </c>
      <c r="C38" s="28" t="str">
        <f>"ESPACO CULTURAL PALACIO DAS MANGABEIRAS SPE S A"</f>
        <v>ESPACO CULTURAL PALACIO DAS MANGABEIRAS SPE S A</v>
      </c>
      <c r="D38" s="19">
        <v>44782</v>
      </c>
      <c r="E38" s="19">
        <v>46511</v>
      </c>
      <c r="F38" s="36">
        <v>1139888</v>
      </c>
      <c r="G38" s="37">
        <v>46536</v>
      </c>
      <c r="H38" s="37">
        <v>1093352</v>
      </c>
    </row>
    <row r="39" spans="2:8" x14ac:dyDescent="0.35">
      <c r="B39" s="39">
        <v>11284</v>
      </c>
      <c r="C39" s="28" t="str">
        <f>"CLIFORD CHANCE SOCIEDADE DE CONSULTORES EM DIREITO ESTRANGEIRO"</f>
        <v>CLIFORD CHANCE SOCIEDADE DE CONSULTORES EM DIREITO ESTRANGEIRO</v>
      </c>
      <c r="D39" s="19">
        <v>44570</v>
      </c>
      <c r="E39" s="19">
        <v>46396</v>
      </c>
      <c r="F39" s="36">
        <v>1611000</v>
      </c>
      <c r="G39" s="37">
        <v>220000</v>
      </c>
      <c r="H39" s="37">
        <v>1391000</v>
      </c>
    </row>
    <row r="40" spans="2:8" x14ac:dyDescent="0.35">
      <c r="B40" s="39">
        <v>11285</v>
      </c>
      <c r="C40" s="28" t="str">
        <f>"NETVIEW INFORMATICA LTDA"</f>
        <v>NETVIEW INFORMATICA LTDA</v>
      </c>
      <c r="D40" s="19">
        <v>44721</v>
      </c>
      <c r="E40" s="19">
        <v>46547</v>
      </c>
      <c r="F40" s="36">
        <v>810180</v>
      </c>
      <c r="G40" s="37">
        <v>639315.48</v>
      </c>
      <c r="H40" s="37">
        <v>170864.52</v>
      </c>
    </row>
    <row r="41" spans="2:8" x14ac:dyDescent="0.35">
      <c r="B41" s="39">
        <v>11286</v>
      </c>
      <c r="C41" s="28" t="str">
        <f>"SOMPO SEGUROS SA"</f>
        <v>SOMPO SEGUROS SA</v>
      </c>
      <c r="D41" s="19">
        <v>44721</v>
      </c>
      <c r="E41" s="19">
        <v>46182</v>
      </c>
      <c r="F41" s="36">
        <v>435772.39</v>
      </c>
      <c r="G41" s="37">
        <v>435772.38</v>
      </c>
      <c r="H41" s="37">
        <v>0.01</v>
      </c>
    </row>
    <row r="42" spans="2:8" x14ac:dyDescent="0.35">
      <c r="B42" s="39">
        <v>11306</v>
      </c>
      <c r="C42" s="28" t="str">
        <f>"CETEST MINAS ENGENHARIA E SERVICOS S A"</f>
        <v>CETEST MINAS ENGENHARIA E SERVICOS S A</v>
      </c>
      <c r="D42" s="19">
        <v>44722</v>
      </c>
      <c r="E42" s="19">
        <v>46183</v>
      </c>
      <c r="F42" s="36">
        <v>4447946.05</v>
      </c>
      <c r="G42" s="37">
        <v>3683306.6</v>
      </c>
      <c r="H42" s="37">
        <v>764639.45</v>
      </c>
    </row>
    <row r="43" spans="2:8" x14ac:dyDescent="0.35">
      <c r="B43" s="39">
        <v>11309</v>
      </c>
      <c r="C43" s="28" t="str">
        <f>"AC CLEAN COMERCIO DE LIMPEZA EIRELI  ME"</f>
        <v>AC CLEAN COMERCIO DE LIMPEZA EIRELI  ME</v>
      </c>
      <c r="D43" s="19">
        <v>44631</v>
      </c>
      <c r="E43" s="19">
        <v>46092</v>
      </c>
      <c r="F43" s="36">
        <v>247478.06</v>
      </c>
      <c r="G43" s="37">
        <v>184948.6</v>
      </c>
      <c r="H43" s="37">
        <v>62529.46</v>
      </c>
    </row>
    <row r="44" spans="2:8" x14ac:dyDescent="0.35">
      <c r="B44" s="39">
        <v>11314</v>
      </c>
      <c r="C44" s="28" t="str">
        <f>"MARKIT GROUP LIMITED"</f>
        <v>MARKIT GROUP LIMITED</v>
      </c>
      <c r="D44" s="19">
        <v>44653</v>
      </c>
      <c r="E44" s="19">
        <v>46448</v>
      </c>
      <c r="F44" s="36">
        <v>109517.04</v>
      </c>
      <c r="G44" s="37">
        <v>96601.2</v>
      </c>
      <c r="H44" s="37">
        <v>12915.84</v>
      </c>
    </row>
    <row r="45" spans="2:8" x14ac:dyDescent="0.35">
      <c r="B45" s="39">
        <v>11322</v>
      </c>
      <c r="C45" s="28" t="str">
        <f>"SECRETARIA DE ESTADO DE PLANEJAMENTO E GESTAO"</f>
        <v>SECRETARIA DE ESTADO DE PLANEJAMENTO E GESTAO</v>
      </c>
      <c r="D45" s="19" t="s">
        <v>191</v>
      </c>
      <c r="E45" s="19" t="s">
        <v>192</v>
      </c>
      <c r="F45" s="36">
        <v>8400000</v>
      </c>
      <c r="G45" s="37">
        <v>6428044.7400000002</v>
      </c>
      <c r="H45" s="37">
        <v>1971955.26</v>
      </c>
    </row>
    <row r="46" spans="2:8" x14ac:dyDescent="0.35">
      <c r="B46" s="39">
        <v>11324</v>
      </c>
      <c r="C46" s="28" t="str">
        <f>"UPLEXIS TECNOLOGIA LTDA"</f>
        <v>UPLEXIS TECNOLOGIA LTDA</v>
      </c>
      <c r="D46" s="19" t="s">
        <v>196</v>
      </c>
      <c r="E46" s="19" t="s">
        <v>197</v>
      </c>
      <c r="F46" s="36">
        <v>456597.6</v>
      </c>
      <c r="G46" s="37">
        <v>311528.93</v>
      </c>
      <c r="H46" s="37">
        <v>145068.67000000001</v>
      </c>
    </row>
    <row r="47" spans="2:8" x14ac:dyDescent="0.35">
      <c r="B47" s="39">
        <v>11328</v>
      </c>
      <c r="C47" s="28" t="str">
        <f>"CONTI CONSULTORIA EM TECNOLOGIA DA INFOR"</f>
        <v>CONTI CONSULTORIA EM TECNOLOGIA DA INFOR</v>
      </c>
      <c r="D47" s="19">
        <v>45261</v>
      </c>
      <c r="E47" s="19">
        <v>47088</v>
      </c>
      <c r="F47" s="36">
        <v>7877744.0300000003</v>
      </c>
      <c r="G47" s="37">
        <v>1449877.11</v>
      </c>
      <c r="H47" s="37">
        <v>6427866.9199999999</v>
      </c>
    </row>
    <row r="48" spans="2:8" x14ac:dyDescent="0.35">
      <c r="B48" s="39">
        <v>11330</v>
      </c>
      <c r="C48" s="28" t="str">
        <f>"COMPANHIA DE GAS DE MINAS GERAIS GASMIG"</f>
        <v>COMPANHIA DE GAS DE MINAS GERAIS GASMIG</v>
      </c>
      <c r="D48" s="19" t="s">
        <v>204</v>
      </c>
      <c r="E48" s="19">
        <v>46722</v>
      </c>
      <c r="F48" s="36">
        <v>908210.74</v>
      </c>
      <c r="G48" s="37">
        <v>693050.98</v>
      </c>
      <c r="H48" s="37">
        <v>215159.76</v>
      </c>
    </row>
    <row r="49" spans="2:8" x14ac:dyDescent="0.35">
      <c r="B49" s="39">
        <v>11332</v>
      </c>
      <c r="C49" s="28" t="str">
        <f>"GENTE SEGURADORA SA"</f>
        <v>GENTE SEGURADORA SA</v>
      </c>
      <c r="D49" s="19" t="s">
        <v>196</v>
      </c>
      <c r="E49" s="19" t="s">
        <v>205</v>
      </c>
      <c r="F49" s="36">
        <v>40000</v>
      </c>
      <c r="G49" s="37">
        <v>40000</v>
      </c>
      <c r="H49" s="37">
        <v>0</v>
      </c>
    </row>
    <row r="50" spans="2:8" x14ac:dyDescent="0.35">
      <c r="B50" s="39">
        <v>11334</v>
      </c>
      <c r="C50" s="28" t="str">
        <f>"COIMBRA CHAVES E BATISTA ADVOGADOS"</f>
        <v>COIMBRA CHAVES E BATISTA ADVOGADOS</v>
      </c>
      <c r="D50" s="19" t="s">
        <v>209</v>
      </c>
      <c r="E50" s="19" t="s">
        <v>210</v>
      </c>
      <c r="F50" s="36">
        <v>726019.13</v>
      </c>
      <c r="G50" s="37">
        <v>590013.13</v>
      </c>
      <c r="H50" s="37">
        <v>136006</v>
      </c>
    </row>
    <row r="51" spans="2:8" x14ac:dyDescent="0.35">
      <c r="B51" s="39">
        <v>11343</v>
      </c>
      <c r="C51" s="28" t="str">
        <f>"ELEVEM LTDA  ME"</f>
        <v>ELEVEM LTDA  ME</v>
      </c>
      <c r="D51" s="19" t="s">
        <v>214</v>
      </c>
      <c r="E51" s="19" t="s">
        <v>215</v>
      </c>
      <c r="F51" s="36">
        <v>38654.9</v>
      </c>
      <c r="G51" s="37">
        <v>29162.25</v>
      </c>
      <c r="H51" s="37">
        <v>9492.65</v>
      </c>
    </row>
    <row r="52" spans="2:8" x14ac:dyDescent="0.35">
      <c r="B52" s="39">
        <v>11345</v>
      </c>
      <c r="C52" s="28" t="str">
        <f>"CONSORCIO OPERACIONAL DO SISTEMA BILHETAGEM"</f>
        <v>CONSORCIO OPERACIONAL DO SISTEMA BILHETAGEM</v>
      </c>
      <c r="D52" s="19" t="s">
        <v>219</v>
      </c>
      <c r="E52" s="19" t="s">
        <v>220</v>
      </c>
      <c r="F52" s="36">
        <v>3375</v>
      </c>
      <c r="G52" s="37">
        <v>1600.05</v>
      </c>
      <c r="H52" s="37">
        <v>1774.95</v>
      </c>
    </row>
    <row r="53" spans="2:8" x14ac:dyDescent="0.35">
      <c r="B53" s="39">
        <v>11354</v>
      </c>
      <c r="C53" s="28" t="str">
        <f>"LUIZ  ALBERTO  SALOMAO"</f>
        <v>LUIZ  ALBERTO  SALOMAO</v>
      </c>
      <c r="D53" s="19" t="s">
        <v>224</v>
      </c>
      <c r="E53" s="19" t="s">
        <v>225</v>
      </c>
      <c r="F53" s="36">
        <v>669000</v>
      </c>
      <c r="G53" s="37">
        <v>227416.05</v>
      </c>
      <c r="H53" s="37">
        <v>441583.95</v>
      </c>
    </row>
    <row r="54" spans="2:8" x14ac:dyDescent="0.35">
      <c r="B54" s="39">
        <v>11356</v>
      </c>
      <c r="C54" s="28" t="str">
        <f>"CS BRASIL FROTAS SA"</f>
        <v>CS BRASIL FROTAS SA</v>
      </c>
      <c r="D54" s="19" t="s">
        <v>229</v>
      </c>
      <c r="E54" s="19" t="s">
        <v>230</v>
      </c>
      <c r="F54" s="36">
        <v>2077944.26</v>
      </c>
      <c r="G54" s="37">
        <v>1950227.23</v>
      </c>
      <c r="H54" s="37">
        <v>127717.03</v>
      </c>
    </row>
    <row r="55" spans="2:8" x14ac:dyDescent="0.35">
      <c r="B55" s="39">
        <v>11358</v>
      </c>
      <c r="C55" s="28" t="str">
        <f>"EMPRESA MINEIRA DE COMUNICAO LTDA"</f>
        <v>EMPRESA MINEIRA DE COMUNICAO LTDA</v>
      </c>
      <c r="D55" s="19" t="s">
        <v>232</v>
      </c>
      <c r="E55" s="19" t="s">
        <v>233</v>
      </c>
      <c r="F55" s="36">
        <v>13854718.08</v>
      </c>
      <c r="G55" s="37">
        <v>0</v>
      </c>
      <c r="H55" s="37">
        <v>13854718.08</v>
      </c>
    </row>
    <row r="56" spans="2:8" x14ac:dyDescent="0.35">
      <c r="B56" s="39">
        <v>11361</v>
      </c>
      <c r="C56" s="28" t="str">
        <f>"RICCI DIARIOS PUBLICIDADE E AGENCIAMENTO"</f>
        <v>RICCI DIARIOS PUBLICIDADE E AGENCIAMENTO</v>
      </c>
      <c r="D56" s="19">
        <v>45264</v>
      </c>
      <c r="E56" s="19">
        <v>47091</v>
      </c>
      <c r="F56" s="36">
        <v>2117696.71</v>
      </c>
      <c r="G56" s="37">
        <v>2098032.36</v>
      </c>
      <c r="H56" s="37">
        <v>19664.349999999999</v>
      </c>
    </row>
    <row r="57" spans="2:8" x14ac:dyDescent="0.35">
      <c r="B57" s="39">
        <v>11363</v>
      </c>
      <c r="C57" s="28" t="str">
        <f>"CONSORCIO OTIMO DE BILHETAGEM ELETRONICA"</f>
        <v>CONSORCIO OTIMO DE BILHETAGEM ELETRONICA</v>
      </c>
      <c r="D57" s="19" t="s">
        <v>238</v>
      </c>
      <c r="E57" s="19" t="s">
        <v>239</v>
      </c>
      <c r="F57" s="36">
        <v>1391.4</v>
      </c>
      <c r="G57" s="37">
        <v>5879500</v>
      </c>
      <c r="H57" s="37">
        <v>8034500</v>
      </c>
    </row>
    <row r="58" spans="2:8" x14ac:dyDescent="0.35">
      <c r="B58" s="39">
        <v>11370</v>
      </c>
      <c r="C58" s="28" t="str">
        <f>"ATC"</f>
        <v>ATC</v>
      </c>
      <c r="D58" s="19">
        <v>45204</v>
      </c>
      <c r="E58" s="19">
        <v>46600</v>
      </c>
      <c r="F58" s="36">
        <v>9436219.9700000007</v>
      </c>
      <c r="G58" s="37">
        <v>7830734.3017999995</v>
      </c>
      <c r="H58" s="37">
        <v>1605485.6682</v>
      </c>
    </row>
    <row r="59" spans="2:8" x14ac:dyDescent="0.35">
      <c r="B59" s="39">
        <v>11390</v>
      </c>
      <c r="C59" s="28" t="str">
        <f>"MCR SISTEMAS E CONSULTORIA LTDA"</f>
        <v>MCR SISTEMAS E CONSULTORIA LTDA</v>
      </c>
      <c r="D59" s="19">
        <v>45114</v>
      </c>
      <c r="E59" s="19">
        <v>46575</v>
      </c>
      <c r="F59" s="36">
        <v>597573.32999999996</v>
      </c>
      <c r="G59" s="37">
        <v>597573.29</v>
      </c>
      <c r="H59" s="37">
        <v>0.04</v>
      </c>
    </row>
    <row r="60" spans="2:8" x14ac:dyDescent="0.35">
      <c r="B60" s="39">
        <v>11399</v>
      </c>
      <c r="C60" s="28" t="str">
        <f>"MGS MINAS GERAIS ADMINISTRACAO E SER SA"</f>
        <v>MGS MINAS GERAIS ADMINISTRACAO E SER SA</v>
      </c>
      <c r="D60" s="19" t="s">
        <v>249</v>
      </c>
      <c r="E60" s="19" t="s">
        <v>250</v>
      </c>
      <c r="F60" s="36">
        <v>83413751.739999995</v>
      </c>
      <c r="G60" s="37">
        <v>49071315.619999997</v>
      </c>
      <c r="H60" s="37">
        <v>34342436.119999997</v>
      </c>
    </row>
    <row r="61" spans="2:8" x14ac:dyDescent="0.35">
      <c r="B61" s="39">
        <v>11408</v>
      </c>
      <c r="C61" s="28" t="str">
        <f>"SECRETARIA DE ESTADO DE GOVERNO"</f>
        <v>SECRETARIA DE ESTADO DE GOVERNO</v>
      </c>
      <c r="D61" s="19" t="s">
        <v>254</v>
      </c>
      <c r="E61" s="19" t="s">
        <v>255</v>
      </c>
      <c r="F61" s="36">
        <v>384827.52</v>
      </c>
      <c r="G61" s="37">
        <v>181305.60000000001</v>
      </c>
      <c r="H61" s="37">
        <v>203521.92000000001</v>
      </c>
    </row>
    <row r="62" spans="2:8" x14ac:dyDescent="0.35">
      <c r="B62" s="39">
        <v>11410</v>
      </c>
      <c r="C62" s="28" t="str">
        <f>"ABATEX INDUSTRIA E COMERCIO LTDA"</f>
        <v>ABATEX INDUSTRIA E COMERCIO LTDA</v>
      </c>
      <c r="D62" s="19">
        <v>45239</v>
      </c>
      <c r="E62" s="19">
        <v>47066</v>
      </c>
      <c r="F62" s="36">
        <v>285999.65000000002</v>
      </c>
      <c r="G62" s="37">
        <v>285999.65000000002</v>
      </c>
      <c r="H62" s="37">
        <v>0</v>
      </c>
    </row>
    <row r="63" spans="2:8" x14ac:dyDescent="0.35">
      <c r="B63" s="39">
        <v>11416</v>
      </c>
      <c r="C63" s="28" t="str">
        <f>"AC CLEAN COMERCIO DE LIMPEZA EIRELI  ME"</f>
        <v>AC CLEAN COMERCIO DE LIMPEZA EIRELI  ME</v>
      </c>
      <c r="D63" s="19">
        <v>45086</v>
      </c>
      <c r="E63" s="19">
        <v>46547</v>
      </c>
      <c r="F63" s="36">
        <v>248863.79</v>
      </c>
      <c r="G63" s="37">
        <v>114757.96</v>
      </c>
      <c r="H63" s="37">
        <v>134105.82999999999</v>
      </c>
    </row>
    <row r="64" spans="2:8" x14ac:dyDescent="0.35">
      <c r="B64" s="39">
        <v>11420</v>
      </c>
      <c r="C64" s="28" t="str">
        <f>"AOVS SISTEMAS DE  INFORMATICA SA"</f>
        <v>AOVS SISTEMAS DE  INFORMATICA SA</v>
      </c>
      <c r="D64" s="19" t="s">
        <v>262</v>
      </c>
      <c r="E64" s="19" t="s">
        <v>263</v>
      </c>
      <c r="F64" s="36">
        <v>12144.48</v>
      </c>
      <c r="G64" s="37">
        <v>11462.44</v>
      </c>
      <c r="H64" s="37">
        <v>6820400</v>
      </c>
    </row>
    <row r="65" spans="2:8" x14ac:dyDescent="0.35">
      <c r="B65" s="39">
        <v>11425</v>
      </c>
      <c r="C65" s="28" t="str">
        <f>"HIPERTEXTO COMUNICACAO EMPRESARIAL SOCIEDADE SIMPLES   PURA"</f>
        <v>HIPERTEXTO COMUNICACAO EMPRESARIAL SOCIEDADE SIMPLES   PURA</v>
      </c>
      <c r="D65" s="19" t="s">
        <v>267</v>
      </c>
      <c r="E65" s="19" t="s">
        <v>268</v>
      </c>
      <c r="F65" s="36">
        <v>1459177.26</v>
      </c>
      <c r="G65" s="37">
        <v>1388367.24</v>
      </c>
      <c r="H65" s="37">
        <v>70810.02</v>
      </c>
    </row>
    <row r="66" spans="2:8" x14ac:dyDescent="0.35">
      <c r="B66" s="39">
        <v>11429</v>
      </c>
      <c r="C66" s="28" t="str">
        <f>"FORT SECURE TECNOLOGIA LTDA"</f>
        <v>FORT SECURE TECNOLOGIA LTDA</v>
      </c>
      <c r="D66" s="19" t="s">
        <v>272</v>
      </c>
      <c r="E66" s="19" t="s">
        <v>273</v>
      </c>
      <c r="F66" s="36">
        <v>233820</v>
      </c>
      <c r="G66" s="37">
        <v>226830</v>
      </c>
      <c r="H66" s="37">
        <v>6990</v>
      </c>
    </row>
    <row r="67" spans="2:8" x14ac:dyDescent="0.35">
      <c r="B67" s="39">
        <v>11441</v>
      </c>
      <c r="C67" s="28" t="str">
        <f>"CCA AUTOMACAO  PREDIAL LTDA ME"</f>
        <v>CCA AUTOMACAO  PREDIAL LTDA ME</v>
      </c>
      <c r="D67" s="19" t="s">
        <v>277</v>
      </c>
      <c r="E67" s="19" t="s">
        <v>278</v>
      </c>
      <c r="F67" s="36">
        <v>77863.31</v>
      </c>
      <c r="G67" s="37">
        <v>71163.210000000006</v>
      </c>
      <c r="H67" s="37">
        <v>6700.1</v>
      </c>
    </row>
    <row r="68" spans="2:8" x14ac:dyDescent="0.35">
      <c r="B68" s="39">
        <v>11442</v>
      </c>
      <c r="C68" s="28" t="str">
        <f>"CENTRIC SYSTEM BRAZIL SOFTWARES LTDA"</f>
        <v>CENTRIC SYSTEM BRAZIL SOFTWARES LTDA</v>
      </c>
      <c r="D68" s="19" t="s">
        <v>282</v>
      </c>
      <c r="E68" s="19" t="s">
        <v>283</v>
      </c>
      <c r="F68" s="36">
        <v>55350</v>
      </c>
      <c r="G68" s="37">
        <v>52733.4</v>
      </c>
      <c r="H68" s="37">
        <v>2616.6</v>
      </c>
    </row>
    <row r="69" spans="2:8" x14ac:dyDescent="0.35">
      <c r="B69" s="39">
        <v>11452</v>
      </c>
      <c r="C69" s="28" t="str">
        <f>"PREFEITURA MUNICIPAL DE LAGOA SANTA"</f>
        <v>PREFEITURA MUNICIPAL DE LAGOA SANTA</v>
      </c>
      <c r="D69" s="19">
        <v>45088</v>
      </c>
      <c r="E69" s="19">
        <v>46601</v>
      </c>
      <c r="F69" s="36">
        <v>3700000</v>
      </c>
      <c r="G69" s="37">
        <v>3700000</v>
      </c>
      <c r="H69" s="37">
        <v>0</v>
      </c>
    </row>
    <row r="70" spans="2:8" x14ac:dyDescent="0.35">
      <c r="B70" s="39">
        <v>11456</v>
      </c>
      <c r="C70" s="28" t="str">
        <f>"INTERNATIONAL FINANCE CORPORATION"</f>
        <v>INTERNATIONAL FINANCE CORPORATION</v>
      </c>
      <c r="D70" s="19">
        <v>45118</v>
      </c>
      <c r="E70" s="19">
        <v>46214</v>
      </c>
      <c r="F70" s="36">
        <v>18185513.510000002</v>
      </c>
      <c r="G70" s="37">
        <v>18008652.699999999</v>
      </c>
      <c r="H70" s="37">
        <v>176860.81</v>
      </c>
    </row>
    <row r="71" spans="2:8" x14ac:dyDescent="0.35">
      <c r="B71" s="39">
        <v>11458</v>
      </c>
      <c r="C71" s="28" t="str">
        <f>"VALEC ENGENHARIA CONSTRUCOES E FERROVIAS SA"</f>
        <v>VALEC ENGENHARIA CONSTRUCOES E FERROVIAS SA</v>
      </c>
      <c r="D71" s="19" t="s">
        <v>291</v>
      </c>
      <c r="E71" s="19">
        <v>46365</v>
      </c>
      <c r="F71" s="36">
        <v>5016317.2300000004</v>
      </c>
      <c r="G71" s="37">
        <v>3009790.34</v>
      </c>
      <c r="H71" s="37">
        <v>2006526.89</v>
      </c>
    </row>
    <row r="72" spans="2:8" ht="29" x14ac:dyDescent="0.35">
      <c r="B72" s="39">
        <v>11460</v>
      </c>
      <c r="C72" s="28" t="str">
        <f>"AVATZ GEOLOGIA E ENGENHARIA AMBIENTAL E SEGURANCA DO TRABALHO LTDA"</f>
        <v>AVATZ GEOLOGIA E ENGENHARIA AMBIENTAL E SEGURANCA DO TRABALHO LTDA</v>
      </c>
      <c r="D72" s="19" t="s">
        <v>295</v>
      </c>
      <c r="E72" s="19" t="s">
        <v>296</v>
      </c>
      <c r="F72" s="36">
        <v>110718.91</v>
      </c>
      <c r="G72" s="37">
        <v>106089.60000000001</v>
      </c>
      <c r="H72" s="37">
        <v>4629.3100000000004</v>
      </c>
    </row>
    <row r="73" spans="2:8" x14ac:dyDescent="0.35">
      <c r="B73" s="39">
        <v>11467</v>
      </c>
      <c r="C73" s="28" t="str">
        <f>"PRODEMGE  CIA DE TECNOL DA INFORMACAO DE MG"</f>
        <v>PRODEMGE  CIA DE TECNOL DA INFORMACAO DE MG</v>
      </c>
      <c r="D73" s="19" t="s">
        <v>300</v>
      </c>
      <c r="E73" s="19" t="s">
        <v>301</v>
      </c>
      <c r="F73" s="36">
        <v>1792296</v>
      </c>
      <c r="G73" s="37">
        <v>909378.6</v>
      </c>
      <c r="H73" s="37">
        <v>882917.4</v>
      </c>
    </row>
    <row r="74" spans="2:8" x14ac:dyDescent="0.35">
      <c r="B74" s="39">
        <v>11473</v>
      </c>
      <c r="C74" s="28" t="str">
        <f>"NP CAPACITACAO E SOLUCOES TECNOLOGICAS LTDA"</f>
        <v>NP CAPACITACAO E SOLUCOES TECNOLOGICAS LTDA</v>
      </c>
      <c r="D74" s="19">
        <v>45089</v>
      </c>
      <c r="E74" s="19">
        <v>46185</v>
      </c>
      <c r="F74" s="36">
        <v>70920</v>
      </c>
      <c r="G74" s="37">
        <v>70920</v>
      </c>
      <c r="H74" s="37">
        <v>0</v>
      </c>
    </row>
    <row r="75" spans="2:8" x14ac:dyDescent="0.35">
      <c r="B75" s="39">
        <v>11478</v>
      </c>
      <c r="C75" s="28" t="str">
        <f>"GRANDE HOTEL DE ARAXA E TERMAS LTDA"</f>
        <v>GRANDE HOTEL DE ARAXA E TERMAS LTDA</v>
      </c>
      <c r="D75" s="19" t="s">
        <v>300</v>
      </c>
      <c r="E75" s="19" t="s">
        <v>26</v>
      </c>
      <c r="F75" s="36">
        <v>6244757.1399999997</v>
      </c>
      <c r="G75" s="37">
        <v>6201226.0499999998</v>
      </c>
      <c r="H75" s="37">
        <v>43531.09</v>
      </c>
    </row>
    <row r="76" spans="2:8" x14ac:dyDescent="0.35">
      <c r="B76" s="39">
        <v>11487</v>
      </c>
      <c r="C76" s="28" t="str">
        <f>"FUNDACAO DOM CABRAL"</f>
        <v>FUNDACAO DOM CABRAL</v>
      </c>
      <c r="D76" s="19">
        <v>45627</v>
      </c>
      <c r="E76" s="19" t="s">
        <v>307</v>
      </c>
      <c r="F76" s="36">
        <v>2958700</v>
      </c>
      <c r="G76" s="37">
        <v>2958700</v>
      </c>
      <c r="H76" s="37">
        <v>0</v>
      </c>
    </row>
    <row r="77" spans="2:8" x14ac:dyDescent="0.35">
      <c r="B77" s="39">
        <v>11506</v>
      </c>
      <c r="C77" s="28" t="str">
        <f>"CRU INTERNATIONAL LIMITED"</f>
        <v>CRU INTERNATIONAL LIMITED</v>
      </c>
      <c r="D77" s="19">
        <v>44935</v>
      </c>
      <c r="E77" s="19" t="s">
        <v>312</v>
      </c>
      <c r="F77" s="36">
        <v>155205.35</v>
      </c>
      <c r="G77" s="37">
        <v>106673.74</v>
      </c>
      <c r="H77" s="37">
        <v>48531.61</v>
      </c>
    </row>
    <row r="78" spans="2:8" x14ac:dyDescent="0.35">
      <c r="B78" s="39">
        <v>11509</v>
      </c>
      <c r="C78" s="28" t="str">
        <f>"CEMIG DISTRIBUICAO S A"</f>
        <v>CEMIG DISTRIBUICAO S A</v>
      </c>
      <c r="D78" s="19" t="s">
        <v>316</v>
      </c>
      <c r="E78" s="19" t="s">
        <v>317</v>
      </c>
      <c r="F78" s="36">
        <v>165600</v>
      </c>
      <c r="G78" s="37">
        <v>86433.23</v>
      </c>
      <c r="H78" s="37">
        <v>79166.77</v>
      </c>
    </row>
    <row r="79" spans="2:8" x14ac:dyDescent="0.35">
      <c r="B79" s="39">
        <v>11517</v>
      </c>
      <c r="C79" s="28" t="str">
        <f>"BANCO NACIONAL DE DESENVOLVIMENTO ECONOMICO E SOCIAL"</f>
        <v>BANCO NACIONAL DE DESENVOLVIMENTO ECONOMICO E SOCIAL</v>
      </c>
      <c r="D79" s="19">
        <v>45629</v>
      </c>
      <c r="E79" s="19">
        <v>46694</v>
      </c>
      <c r="F79" s="36">
        <v>10000000</v>
      </c>
      <c r="G79" s="37">
        <v>0</v>
      </c>
      <c r="H79" s="37">
        <v>10000000</v>
      </c>
    </row>
    <row r="80" spans="2:8" x14ac:dyDescent="0.35">
      <c r="B80" s="39">
        <v>11518</v>
      </c>
      <c r="C80" s="28" t="str">
        <f>"SECRETARIA DE ESTADO DE CULTURA"</f>
        <v>SECRETARIA DE ESTADO DE CULTURA</v>
      </c>
      <c r="D80" s="19">
        <v>45326</v>
      </c>
      <c r="E80" s="19">
        <v>46391</v>
      </c>
      <c r="F80" s="36">
        <v>12086072.6</v>
      </c>
      <c r="G80" s="37">
        <v>12086072.6</v>
      </c>
      <c r="H80" s="37">
        <v>0</v>
      </c>
    </row>
    <row r="81" spans="2:8" x14ac:dyDescent="0.35">
      <c r="B81" s="39">
        <v>11523</v>
      </c>
      <c r="C81" s="28" t="str">
        <f>"FEDERACAO DAS INDUSTRIAS DO ESTADO DE MINAS GERAIS"</f>
        <v>FEDERACAO DAS INDUSTRIAS DO ESTADO DE MINAS GERAIS</v>
      </c>
      <c r="D81" s="19">
        <v>45386</v>
      </c>
      <c r="E81" s="19" t="s">
        <v>322</v>
      </c>
      <c r="F81" s="36">
        <v>300000</v>
      </c>
      <c r="G81" s="37">
        <v>287518.11</v>
      </c>
      <c r="H81" s="37">
        <v>12481.89</v>
      </c>
    </row>
    <row r="82" spans="2:8" x14ac:dyDescent="0.35">
      <c r="B82" s="39">
        <v>11527</v>
      </c>
      <c r="C82" s="28" t="str">
        <f>"INSTITUTO DE EDUCACAO  E CULTURA SA"</f>
        <v>INSTITUTO DE EDUCACAO  E CULTURA SA</v>
      </c>
      <c r="D82" s="19">
        <v>45630</v>
      </c>
      <c r="E82" s="19" t="s">
        <v>326</v>
      </c>
      <c r="F82" s="36">
        <v>673140</v>
      </c>
      <c r="G82" s="37">
        <v>671048.6</v>
      </c>
      <c r="H82" s="37">
        <v>2091.4</v>
      </c>
    </row>
    <row r="83" spans="2:8" x14ac:dyDescent="0.35">
      <c r="B83" s="39">
        <v>11531</v>
      </c>
      <c r="C83" s="28" t="str">
        <f>"INSTITUTO DE EDUCACAO  E CULTURA SA"</f>
        <v>INSTITUTO DE EDUCACAO  E CULTURA SA</v>
      </c>
      <c r="D83" s="19" t="s">
        <v>330</v>
      </c>
      <c r="E83" s="19" t="s">
        <v>326</v>
      </c>
      <c r="F83" s="36">
        <v>660216</v>
      </c>
      <c r="G83" s="37">
        <v>582488.4</v>
      </c>
      <c r="H83" s="37">
        <v>77727.600000000006</v>
      </c>
    </row>
    <row r="84" spans="2:8" x14ac:dyDescent="0.35">
      <c r="B84" s="39">
        <v>11532</v>
      </c>
      <c r="C84" s="28" t="str">
        <f>"CENOFISCO EDITORA DE PUBLICACOES TRIBUTA"</f>
        <v>CENOFISCO EDITORA DE PUBLICACOES TRIBUTA</v>
      </c>
      <c r="D84" s="19">
        <v>45295</v>
      </c>
      <c r="E84" s="19" t="s">
        <v>332</v>
      </c>
      <c r="F84" s="36">
        <v>6468</v>
      </c>
      <c r="G84" s="37">
        <v>6468</v>
      </c>
      <c r="H84" s="37">
        <v>0</v>
      </c>
    </row>
    <row r="85" spans="2:8" x14ac:dyDescent="0.35">
      <c r="B85" s="39">
        <v>11538</v>
      </c>
      <c r="C85" s="28" t="str">
        <f>"CONTI CONSULTORIA EM TECNOLOGIA DA INFOR"</f>
        <v>CONTI CONSULTORIA EM TECNOLOGIA DA INFOR</v>
      </c>
      <c r="D85" s="19" t="s">
        <v>336</v>
      </c>
      <c r="E85" s="19" t="s">
        <v>337</v>
      </c>
      <c r="F85" s="36">
        <v>95648.52</v>
      </c>
      <c r="G85" s="37">
        <v>54959.61</v>
      </c>
      <c r="H85" s="37">
        <v>40688.910000000003</v>
      </c>
    </row>
    <row r="86" spans="2:8" x14ac:dyDescent="0.35">
      <c r="B86" s="39">
        <v>11539</v>
      </c>
      <c r="C86" s="28" t="str">
        <f>"ESCRITORIO DAS NACOES UNIDAS SERVICO DE  PROJETOS"</f>
        <v>ESCRITORIO DAS NACOES UNIDAS SERVICO DE  PROJETOS</v>
      </c>
      <c r="D86" s="19">
        <v>45508</v>
      </c>
      <c r="E86" s="19">
        <v>46607</v>
      </c>
      <c r="F86" s="36">
        <v>17860269.719999999</v>
      </c>
      <c r="G86" s="37">
        <v>1122278.3899999999</v>
      </c>
      <c r="H86" s="37">
        <v>16737991.33</v>
      </c>
    </row>
    <row r="87" spans="2:8" x14ac:dyDescent="0.35">
      <c r="B87" s="39">
        <v>11541</v>
      </c>
      <c r="C87" s="28" t="str">
        <f>"ZENITE INFORMACAO E CONSULTORIA S A"</f>
        <v>ZENITE INFORMACAO E CONSULTORIA S A</v>
      </c>
      <c r="D87" s="19">
        <v>45540</v>
      </c>
      <c r="E87" s="19">
        <v>46635</v>
      </c>
      <c r="F87" s="36">
        <v>28685.21</v>
      </c>
      <c r="G87" s="37">
        <v>28685.21</v>
      </c>
      <c r="H87" s="37">
        <v>0</v>
      </c>
    </row>
    <row r="88" spans="2:8" x14ac:dyDescent="0.35">
      <c r="B88" s="39">
        <v>11543</v>
      </c>
      <c r="C88" s="28" t="str">
        <f>"RADAR PPP LTDA"</f>
        <v>RADAR PPP LTDA</v>
      </c>
      <c r="D88" s="19" t="s">
        <v>342</v>
      </c>
      <c r="E88" s="19" t="s">
        <v>347</v>
      </c>
      <c r="F88" s="36">
        <v>1004967.84</v>
      </c>
      <c r="G88" s="37">
        <v>747764.4</v>
      </c>
      <c r="H88" s="37">
        <v>257203.44</v>
      </c>
    </row>
    <row r="89" spans="2:8" x14ac:dyDescent="0.35">
      <c r="B89" s="39">
        <v>11544</v>
      </c>
      <c r="C89" s="28" t="str">
        <f>"KEPLER VIAGENS EVENTOS E TURISMO EIRELI"</f>
        <v>KEPLER VIAGENS EVENTOS E TURISMO EIRELI</v>
      </c>
      <c r="D89" s="19" t="s">
        <v>342</v>
      </c>
      <c r="E89" s="19" t="s">
        <v>343</v>
      </c>
      <c r="F89" s="36">
        <v>1006231.79</v>
      </c>
      <c r="G89" s="37">
        <v>574920.52</v>
      </c>
      <c r="H89" s="37">
        <v>431311.27</v>
      </c>
    </row>
    <row r="90" spans="2:8" x14ac:dyDescent="0.35">
      <c r="B90" s="39">
        <v>11546</v>
      </c>
      <c r="C90" s="28" t="str">
        <f>"GONTIJO CALDAS  FLEURY ADVOGADOS ASSOCIADOS"</f>
        <v>GONTIJO CALDAS  FLEURY ADVOGADOS ASSOCIADOS</v>
      </c>
      <c r="D90" s="19" t="s">
        <v>352</v>
      </c>
      <c r="E90" s="19" t="s">
        <v>353</v>
      </c>
      <c r="F90" s="36">
        <v>50000</v>
      </c>
      <c r="G90" s="37">
        <v>40000</v>
      </c>
      <c r="H90" s="37">
        <v>10000</v>
      </c>
    </row>
    <row r="91" spans="2:8" x14ac:dyDescent="0.35">
      <c r="B91" s="39">
        <v>11556</v>
      </c>
      <c r="C91" s="28" t="str">
        <f>"MUNICIPIO DE CARBONITA"</f>
        <v>MUNICIPIO DE CARBONITA</v>
      </c>
      <c r="D91" s="19">
        <v>45357</v>
      </c>
      <c r="E91" s="19" t="s">
        <v>355</v>
      </c>
      <c r="F91" s="36">
        <v>1610000</v>
      </c>
      <c r="G91" s="37">
        <v>1610000</v>
      </c>
      <c r="H91" s="37">
        <v>0</v>
      </c>
    </row>
    <row r="92" spans="2:8" ht="29" x14ac:dyDescent="0.35">
      <c r="B92" s="39">
        <v>11560</v>
      </c>
      <c r="C92" s="28" t="str">
        <f>"ASSOCIACAO DE  PAIS  AMIGOS E  MESTRES  DO COLEGIO  MILITAR  DE BELO HORIZONTE"</f>
        <v>ASSOCIACAO DE  PAIS  AMIGOS E  MESTRES  DO COLEGIO  MILITAR  DE BELO HORIZONTE</v>
      </c>
      <c r="D92" s="19">
        <v>45449</v>
      </c>
      <c r="E92" s="19" t="s">
        <v>357</v>
      </c>
      <c r="F92" s="36">
        <v>1347831.45</v>
      </c>
      <c r="G92" s="37">
        <v>1347831.45</v>
      </c>
      <c r="H92" s="37">
        <v>0</v>
      </c>
    </row>
    <row r="93" spans="2:8" x14ac:dyDescent="0.35">
      <c r="B93" s="39">
        <v>11568</v>
      </c>
      <c r="C93" s="28" t="str">
        <f>"CEMIG DISTRIBUICAO S A"</f>
        <v>CEMIG DISTRIBUICAO S A</v>
      </c>
      <c r="D93" s="19" t="s">
        <v>361</v>
      </c>
      <c r="E93" s="19" t="s">
        <v>362</v>
      </c>
      <c r="F93" s="36">
        <v>545544.03</v>
      </c>
      <c r="G93" s="37">
        <v>472745.25</v>
      </c>
      <c r="H93" s="37">
        <v>72798.78</v>
      </c>
    </row>
    <row r="94" spans="2:8" x14ac:dyDescent="0.35">
      <c r="B94" s="39">
        <v>11587</v>
      </c>
      <c r="C94" s="28" t="str">
        <f>"CENTRO SALESIANO DO MENOR  CESAM"</f>
        <v>CENTRO SALESIANO DO MENOR  CESAM</v>
      </c>
      <c r="D94" s="19" t="s">
        <v>366</v>
      </c>
      <c r="E94" s="19" t="s">
        <v>357</v>
      </c>
      <c r="F94" s="36">
        <v>339483.05</v>
      </c>
      <c r="G94" s="37">
        <v>133561.74</v>
      </c>
      <c r="H94" s="37">
        <v>205921.31</v>
      </c>
    </row>
    <row r="95" spans="2:8" x14ac:dyDescent="0.35">
      <c r="B95" s="39">
        <v>11588</v>
      </c>
      <c r="C95" s="28" t="str">
        <f>"FORT SECURE TECNOLOGIA LTDA"</f>
        <v>FORT SECURE TECNOLOGIA LTDA</v>
      </c>
      <c r="D95" s="19" t="s">
        <v>370</v>
      </c>
      <c r="E95" s="19" t="s">
        <v>371</v>
      </c>
      <c r="F95" s="36">
        <v>216032</v>
      </c>
      <c r="G95" s="37">
        <v>201732</v>
      </c>
      <c r="H95" s="37">
        <v>14300</v>
      </c>
    </row>
    <row r="96" spans="2:8" x14ac:dyDescent="0.35">
      <c r="B96" s="39">
        <v>11593</v>
      </c>
      <c r="C96" s="28" t="str">
        <f>"ARARAUNA TURISMO ECOLOGICO LTDA"</f>
        <v>ARARAUNA TURISMO ECOLOGICO LTDA</v>
      </c>
      <c r="D96" s="19" t="s">
        <v>375</v>
      </c>
      <c r="E96" s="19" t="s">
        <v>376</v>
      </c>
      <c r="F96" s="36">
        <v>36000000.75</v>
      </c>
      <c r="G96" s="37">
        <v>4146208.96</v>
      </c>
      <c r="H96" s="37">
        <v>31853791.789999999</v>
      </c>
    </row>
    <row r="97" spans="2:8" x14ac:dyDescent="0.35">
      <c r="B97" s="39">
        <v>11594</v>
      </c>
      <c r="C97" s="28" t="str">
        <f>"LIGA DESPORTIVA DO ALTO RIO PARDO"</f>
        <v>LIGA DESPORTIVA DO ALTO RIO PARDO</v>
      </c>
      <c r="D97" s="19" t="s">
        <v>378</v>
      </c>
      <c r="E97" s="19" t="s">
        <v>379</v>
      </c>
      <c r="F97" s="36">
        <v>598461.64</v>
      </c>
      <c r="G97" s="37">
        <v>598461.64</v>
      </c>
      <c r="H97" s="37">
        <v>0</v>
      </c>
    </row>
    <row r="98" spans="2:8" x14ac:dyDescent="0.35">
      <c r="B98" s="39">
        <v>11635</v>
      </c>
      <c r="C98" s="28" t="str">
        <f>"OPEN TREINAMENTOS EMPRESARIAIS E EDITORA LTDA EPP"</f>
        <v>OPEN TREINAMENTOS EMPRESARIAIS E EDITORA LTDA EPP</v>
      </c>
      <c r="D98" s="19">
        <v>45542</v>
      </c>
      <c r="E98" s="19">
        <v>46972</v>
      </c>
      <c r="F98" s="36">
        <v>30610.7</v>
      </c>
      <c r="G98" s="37">
        <v>22692.09</v>
      </c>
      <c r="H98" s="37">
        <v>7918.61</v>
      </c>
    </row>
    <row r="99" spans="2:8" x14ac:dyDescent="0.35">
      <c r="B99" s="39">
        <v>11636</v>
      </c>
      <c r="C99" s="28" t="str">
        <f>"AGNES AG SOLUCOES TECNOLOGICAS LTDA"</f>
        <v>AGNES AG SOLUCOES TECNOLOGICAS LTDA</v>
      </c>
      <c r="D99" s="19" t="s">
        <v>386</v>
      </c>
      <c r="E99" s="19" t="s">
        <v>387</v>
      </c>
      <c r="F99" s="36">
        <v>362836</v>
      </c>
      <c r="G99" s="37">
        <v>130224.52</v>
      </c>
      <c r="H99" s="37">
        <v>232611.48</v>
      </c>
    </row>
    <row r="100" spans="2:8" x14ac:dyDescent="0.35">
      <c r="B100" s="39">
        <v>11641</v>
      </c>
      <c r="C100" s="28" t="str">
        <f>"PERFIX ASSESSORIA E CONSULTORIA LTDA"</f>
        <v>PERFIX ASSESSORIA E CONSULTORIA LTDA</v>
      </c>
      <c r="D100" s="19">
        <v>45603</v>
      </c>
      <c r="E100" s="19">
        <v>46722</v>
      </c>
      <c r="F100" s="36">
        <v>241000</v>
      </c>
      <c r="G100" s="37">
        <v>222925</v>
      </c>
      <c r="H100" s="37">
        <v>18075</v>
      </c>
    </row>
    <row r="101" spans="2:8" x14ac:dyDescent="0.35">
      <c r="B101" s="39">
        <v>11646</v>
      </c>
      <c r="C101" s="28" t="str">
        <f>"CARMO E DELGADO GEOLOGOS CONSULT LTDA"</f>
        <v>CARMO E DELGADO GEOLOGOS CONSULT LTDA</v>
      </c>
      <c r="D101" s="19">
        <v>45572</v>
      </c>
      <c r="E101" s="19">
        <v>46304</v>
      </c>
      <c r="F101" s="36">
        <v>1253715.5</v>
      </c>
      <c r="G101" s="37">
        <v>590688.18000000005</v>
      </c>
      <c r="H101" s="37">
        <v>663027.31999999995</v>
      </c>
    </row>
    <row r="102" spans="2:8" x14ac:dyDescent="0.35">
      <c r="B102" s="39">
        <v>11647</v>
      </c>
      <c r="C102" s="28" t="str">
        <f>"PREFEITURA MUNICIPAL DE LAMBARI"</f>
        <v>PREFEITURA MUNICIPAL DE LAMBARI</v>
      </c>
      <c r="D102" s="19">
        <v>45633</v>
      </c>
      <c r="E102" s="19" t="s">
        <v>15</v>
      </c>
      <c r="F102" s="36">
        <v>32500000</v>
      </c>
      <c r="G102" s="37">
        <v>0</v>
      </c>
      <c r="H102" s="37">
        <v>32500000</v>
      </c>
    </row>
    <row r="103" spans="2:8" x14ac:dyDescent="0.35">
      <c r="B103" s="39">
        <v>11648</v>
      </c>
      <c r="C103" s="28" t="str">
        <f>"PREFEITURA MUNICIPAL DE RIBEIRAO DAS NEVES"</f>
        <v>PREFEITURA MUNICIPAL DE RIBEIRAO DAS NEVES</v>
      </c>
      <c r="D103" s="19" t="s">
        <v>396</v>
      </c>
      <c r="E103" s="19" t="s">
        <v>15</v>
      </c>
      <c r="F103" s="36">
        <v>4650000</v>
      </c>
      <c r="G103" s="37">
        <v>0</v>
      </c>
      <c r="H103" s="37">
        <v>4650000</v>
      </c>
    </row>
    <row r="104" spans="2:8" x14ac:dyDescent="0.35">
      <c r="B104" s="39">
        <v>11650</v>
      </c>
      <c r="C104" s="28" t="str">
        <f>"PREFEITURA MUNICIPAL DE CAMBUQUIRA"</f>
        <v>PREFEITURA MUNICIPAL DE CAMBUQUIRA</v>
      </c>
      <c r="D104" s="19">
        <v>45419</v>
      </c>
      <c r="E104" s="19" t="s">
        <v>15</v>
      </c>
      <c r="F104" s="36">
        <v>2068396.54</v>
      </c>
      <c r="G104" s="37">
        <v>0</v>
      </c>
      <c r="H104" s="37">
        <v>2068396.54</v>
      </c>
    </row>
    <row r="105" spans="2:8" x14ac:dyDescent="0.35">
      <c r="B105" s="39">
        <v>11655</v>
      </c>
      <c r="C105" s="28" t="str">
        <f>"LICITAR DIGITAL SERVICOS EM TECNOLOGIA DA INFORMACAO LTDA"</f>
        <v>LICITAR DIGITAL SERVICOS EM TECNOLOGIA DA INFORMACAO LTDA</v>
      </c>
      <c r="D105" s="19" t="s">
        <v>355</v>
      </c>
      <c r="E105" s="19" t="s">
        <v>401</v>
      </c>
      <c r="F105" s="36">
        <v>931102.28</v>
      </c>
      <c r="G105" s="37">
        <v>322150.45</v>
      </c>
      <c r="H105" s="37">
        <v>608951.82999999996</v>
      </c>
    </row>
    <row r="106" spans="2:8" x14ac:dyDescent="0.35">
      <c r="B106" s="39">
        <v>11659</v>
      </c>
      <c r="C106" s="28" t="str">
        <f>"CAUANNA  SERVICOS DE GRAFICA  RAPIDA  LTDA"</f>
        <v>CAUANNA  SERVICOS DE GRAFICA  RAPIDA  LTDA</v>
      </c>
      <c r="D106" s="19" t="s">
        <v>405</v>
      </c>
      <c r="E106" s="19" t="s">
        <v>406</v>
      </c>
      <c r="F106" s="36">
        <v>2416584.12</v>
      </c>
      <c r="G106" s="37">
        <v>1396950.33</v>
      </c>
      <c r="H106" s="37">
        <v>1019633.79</v>
      </c>
    </row>
    <row r="107" spans="2:8" x14ac:dyDescent="0.35">
      <c r="B107" s="39">
        <v>11665</v>
      </c>
      <c r="C107" s="28" t="str">
        <f>"PTV DO BRASIL  IMPORTACAO  LICENCAS  E  SUPORTE   DE SOFTWARE  LTDA"</f>
        <v>PTV DO BRASIL  IMPORTACAO  LICENCAS  E  SUPORTE   DE SOFTWARE  LTDA</v>
      </c>
      <c r="D107" s="19" t="s">
        <v>409</v>
      </c>
      <c r="E107" s="19" t="s">
        <v>410</v>
      </c>
      <c r="F107" s="36">
        <v>1867210</v>
      </c>
      <c r="G107" s="37">
        <v>1867210</v>
      </c>
      <c r="H107" s="37">
        <v>0</v>
      </c>
    </row>
    <row r="108" spans="2:8" x14ac:dyDescent="0.35">
      <c r="B108" s="39">
        <v>11669</v>
      </c>
      <c r="C108" s="28" t="str">
        <f>"EDITORA NEGOCIOS PUBLICOS DO BRASIL EIRELI"</f>
        <v>EDITORA NEGOCIOS PUBLICOS DO BRASIL EIRELI</v>
      </c>
      <c r="D108" s="19">
        <v>45360</v>
      </c>
      <c r="E108" s="19">
        <v>46090</v>
      </c>
      <c r="F108" s="36">
        <v>15006.79</v>
      </c>
      <c r="G108" s="37">
        <v>15006.79</v>
      </c>
      <c r="H108" s="37">
        <v>0</v>
      </c>
    </row>
    <row r="109" spans="2:8" x14ac:dyDescent="0.35">
      <c r="B109" s="39">
        <v>11672</v>
      </c>
      <c r="C109" s="28" t="str">
        <f>"NACIONAL GAS  BUTANO DISTRIBUIODORA  LTDA"</f>
        <v>NACIONAL GAS  BUTANO DISTRIBUIODORA  LTDA</v>
      </c>
      <c r="D109" s="19">
        <v>45605</v>
      </c>
      <c r="E109" s="19">
        <v>46335</v>
      </c>
      <c r="F109" s="36">
        <v>330150</v>
      </c>
      <c r="G109" s="37">
        <v>163214.67000000001</v>
      </c>
      <c r="H109" s="37">
        <v>166935.32999999999</v>
      </c>
    </row>
    <row r="110" spans="2:8" x14ac:dyDescent="0.35">
      <c r="B110" s="39">
        <v>11686</v>
      </c>
      <c r="C110" s="28" t="str">
        <f>"GGB CLINICA  E ENGENHARIA LTDA"</f>
        <v>GGB CLINICA  E ENGENHARIA LTDA</v>
      </c>
      <c r="D110" s="19">
        <v>45301</v>
      </c>
      <c r="E110" s="19">
        <v>46397</v>
      </c>
      <c r="F110" s="36">
        <v>95198.43</v>
      </c>
      <c r="G110" s="37">
        <v>54629.4</v>
      </c>
      <c r="H110" s="37">
        <v>40569.03</v>
      </c>
    </row>
    <row r="111" spans="2:8" x14ac:dyDescent="0.35">
      <c r="B111" s="39">
        <v>11690</v>
      </c>
      <c r="C111" s="28" t="str">
        <f>"SOFTEXPERT SOFTWARE SA"</f>
        <v>SOFTEXPERT SOFTWARE SA</v>
      </c>
      <c r="D111" s="19">
        <v>45606</v>
      </c>
      <c r="E111" s="19">
        <v>47401</v>
      </c>
      <c r="F111" s="36">
        <v>1397336.45</v>
      </c>
      <c r="G111" s="37">
        <v>597889.23</v>
      </c>
      <c r="H111" s="37">
        <v>799447.22</v>
      </c>
    </row>
    <row r="112" spans="2:8" x14ac:dyDescent="0.35">
      <c r="B112" s="39">
        <v>11694</v>
      </c>
      <c r="C112" s="28" t="str">
        <f>"GRI BRAZIL EVENTOS LTDA"</f>
        <v>GRI BRAZIL EVENTOS LTDA</v>
      </c>
      <c r="D112" s="19">
        <v>45606</v>
      </c>
      <c r="E112" s="19">
        <v>46336</v>
      </c>
      <c r="F112" s="36">
        <v>593845.5</v>
      </c>
      <c r="G112" s="37">
        <v>439230.32</v>
      </c>
      <c r="H112" s="37">
        <v>154615.18</v>
      </c>
    </row>
    <row r="113" spans="2:8" x14ac:dyDescent="0.35">
      <c r="B113" s="39">
        <v>11698</v>
      </c>
      <c r="C113" s="28" t="str">
        <f>"PRAXIS SISTEMAS DE INFORMATICA LTDA ME"</f>
        <v>PRAXIS SISTEMAS DE INFORMATICA LTDA ME</v>
      </c>
      <c r="D113" s="19" t="s">
        <v>427</v>
      </c>
      <c r="E113" s="19" t="s">
        <v>428</v>
      </c>
      <c r="F113" s="36">
        <v>19396.810000000001</v>
      </c>
      <c r="G113" s="37">
        <v>17738.28</v>
      </c>
      <c r="H113" s="37">
        <v>1658.53</v>
      </c>
    </row>
    <row r="114" spans="2:8" x14ac:dyDescent="0.35">
      <c r="B114" s="39">
        <v>11702</v>
      </c>
      <c r="C114" s="28" t="str">
        <f>"PRODEMGE  CIA DE TECNOL DA INFORMACAO DE MG"</f>
        <v>PRODEMGE  CIA DE TECNOL DA INFORMACAO DE MG</v>
      </c>
      <c r="D114" s="19" t="s">
        <v>432</v>
      </c>
      <c r="E114" s="19" t="s">
        <v>433</v>
      </c>
      <c r="F114" s="36">
        <v>1169864</v>
      </c>
      <c r="G114" s="37">
        <v>38653.919999999998</v>
      </c>
      <c r="H114" s="37">
        <v>1131210.08</v>
      </c>
    </row>
    <row r="115" spans="2:8" x14ac:dyDescent="0.35">
      <c r="B115" s="39">
        <v>11704</v>
      </c>
      <c r="C115" s="28" t="str">
        <f>"CLICK TI TECNOLOGIA LTDA"</f>
        <v>CLICK TI TECNOLOGIA LTDA</v>
      </c>
      <c r="D115" s="19" t="s">
        <v>435</v>
      </c>
      <c r="E115" s="19" t="s">
        <v>436</v>
      </c>
      <c r="F115" s="36">
        <v>190000</v>
      </c>
      <c r="G115" s="37">
        <v>190000</v>
      </c>
      <c r="H115" s="37">
        <v>0</v>
      </c>
    </row>
    <row r="116" spans="2:8" x14ac:dyDescent="0.35">
      <c r="B116" s="39">
        <v>11706</v>
      </c>
      <c r="C116" s="28" t="str">
        <f>"AGENES S  DA SILVA SUPRIMENTOS DE INFORMATICA   ME"</f>
        <v>AGENES S  DA SILVA SUPRIMENTOS DE INFORMATICA   ME</v>
      </c>
      <c r="D116" s="19">
        <v>45393</v>
      </c>
      <c r="E116" s="19">
        <v>46123</v>
      </c>
      <c r="F116" s="36">
        <v>41239.65</v>
      </c>
      <c r="G116" s="37">
        <v>41239.65</v>
      </c>
      <c r="H116" s="37">
        <v>0</v>
      </c>
    </row>
    <row r="117" spans="2:8" x14ac:dyDescent="0.35">
      <c r="B117" s="39">
        <v>11707</v>
      </c>
      <c r="C117" s="28" t="str">
        <f>"OLIVEIRA ANDRADE SERVICOS DE MONITORAMENTO DE INFORMACOES LTDA"</f>
        <v>OLIVEIRA ANDRADE SERVICOS DE MONITORAMENTO DE INFORMACOES LTDA</v>
      </c>
      <c r="D117" s="19">
        <v>45454</v>
      </c>
      <c r="E117" s="19">
        <v>46518</v>
      </c>
      <c r="F117" s="36">
        <v>156739.68</v>
      </c>
      <c r="G117" s="37">
        <v>89544.79</v>
      </c>
      <c r="H117" s="37">
        <v>67194.89</v>
      </c>
    </row>
    <row r="118" spans="2:8" x14ac:dyDescent="0.35">
      <c r="B118" s="39">
        <v>11710</v>
      </c>
      <c r="C118" s="28" t="str">
        <f>"COOPERATIVA DE RADIO COMUNICACAO DE  BELO  HORIZONTE"</f>
        <v>COOPERATIVA DE RADIO COMUNICACAO DE  BELO  HORIZONTE</v>
      </c>
      <c r="D118" s="19">
        <v>45454</v>
      </c>
      <c r="E118" s="19" t="s">
        <v>444</v>
      </c>
      <c r="F118" s="36">
        <v>128000</v>
      </c>
      <c r="G118" s="37">
        <v>95211</v>
      </c>
      <c r="H118" s="37">
        <v>32789</v>
      </c>
    </row>
    <row r="119" spans="2:8" x14ac:dyDescent="0.35">
      <c r="B119" s="39">
        <v>11718</v>
      </c>
      <c r="C119" s="28" t="str">
        <f>"CEMIG DISTRIBUICAO S A"</f>
        <v>CEMIG DISTRIBUICAO S A</v>
      </c>
      <c r="D119" s="19">
        <v>45607</v>
      </c>
      <c r="E119" s="19">
        <v>46337</v>
      </c>
      <c r="F119" s="36">
        <v>607500</v>
      </c>
      <c r="G119" s="37">
        <v>421670.82</v>
      </c>
      <c r="H119" s="37">
        <v>185829.18</v>
      </c>
    </row>
    <row r="120" spans="2:8" x14ac:dyDescent="0.35">
      <c r="B120" s="39">
        <v>11725</v>
      </c>
      <c r="C120" s="28" t="str">
        <f>"UNIMED SEGURADORA S A"</f>
        <v>UNIMED SEGURADORA S A</v>
      </c>
      <c r="D120" s="19">
        <v>45394</v>
      </c>
      <c r="E120" s="19">
        <v>46388</v>
      </c>
      <c r="F120" s="36">
        <v>23876.16</v>
      </c>
      <c r="G120" s="37">
        <v>17907.12</v>
      </c>
      <c r="H120" s="37">
        <v>5969.04</v>
      </c>
    </row>
    <row r="121" spans="2:8" x14ac:dyDescent="0.35">
      <c r="B121" s="39">
        <v>11726</v>
      </c>
      <c r="C121" s="28" t="str">
        <f>"UNIMED SEGURADORA S A"</f>
        <v>UNIMED SEGURADORA S A</v>
      </c>
      <c r="D121" s="19">
        <v>45394</v>
      </c>
      <c r="E121" s="19">
        <v>46399</v>
      </c>
      <c r="F121" s="36">
        <v>581087.98</v>
      </c>
      <c r="G121" s="37">
        <v>452095.41</v>
      </c>
      <c r="H121" s="37">
        <v>128992.57</v>
      </c>
    </row>
    <row r="122" spans="2:8" x14ac:dyDescent="0.35">
      <c r="B122" s="39">
        <v>11727</v>
      </c>
      <c r="C122" s="28" t="str">
        <f>"MS SEGURANCA  ELETRONICA LTDA"</f>
        <v>MS SEGURANCA  ELETRONICA LTDA</v>
      </c>
      <c r="D122" s="19">
        <v>45455</v>
      </c>
      <c r="E122" s="19">
        <v>46185</v>
      </c>
      <c r="F122" s="36">
        <v>43968</v>
      </c>
      <c r="G122" s="37">
        <v>34808</v>
      </c>
      <c r="H122" s="37">
        <v>9160</v>
      </c>
    </row>
    <row r="123" spans="2:8" x14ac:dyDescent="0.35">
      <c r="B123" s="39">
        <v>11728</v>
      </c>
      <c r="C123" s="28" t="str">
        <f>"SELBETTI GESTAO DE DOCUMENTOS S A"</f>
        <v>SELBETTI GESTAO DE DOCUMENTOS S A</v>
      </c>
      <c r="D123" s="19" t="s">
        <v>460</v>
      </c>
      <c r="E123" s="19" t="s">
        <v>461</v>
      </c>
      <c r="F123" s="36">
        <v>353306.6</v>
      </c>
      <c r="G123" s="37">
        <v>135644.88</v>
      </c>
      <c r="H123" s="37">
        <v>217661.72</v>
      </c>
    </row>
    <row r="124" spans="2:8" x14ac:dyDescent="0.35">
      <c r="B124" s="39">
        <v>11732</v>
      </c>
      <c r="C124" s="28" t="str">
        <f>"TELEFONICA BRASIL SA"</f>
        <v>TELEFONICA BRASIL SA</v>
      </c>
      <c r="D124" s="19" t="s">
        <v>465</v>
      </c>
      <c r="E124" s="19" t="s">
        <v>466</v>
      </c>
      <c r="F124" s="36">
        <v>400509.6</v>
      </c>
      <c r="G124" s="37">
        <v>218990.4</v>
      </c>
      <c r="H124" s="37">
        <v>181519.2</v>
      </c>
    </row>
    <row r="125" spans="2:8" x14ac:dyDescent="0.35">
      <c r="B125" s="39">
        <v>11744</v>
      </c>
      <c r="C125" s="28" t="str">
        <f>"SECRETARIA DE ESTADO DE AGRICULTURA PECUARIA E ABASTECIMENTO"</f>
        <v>SECRETARIA DE ESTADO DE AGRICULTURA PECUARIA E ABASTECIMENTO</v>
      </c>
      <c r="D125" s="19" t="s">
        <v>470</v>
      </c>
      <c r="E125" s="19" t="s">
        <v>149</v>
      </c>
      <c r="F125" s="36">
        <v>5186330.3</v>
      </c>
      <c r="G125" s="37">
        <v>2512436.2999999998</v>
      </c>
      <c r="H125" s="37">
        <v>2673894</v>
      </c>
    </row>
    <row r="126" spans="2:8" x14ac:dyDescent="0.35">
      <c r="B126" s="39">
        <v>11746</v>
      </c>
      <c r="C126" s="28" t="str">
        <f>"DATACOP COMERCIO E SERVICOS DE MICROFILMAGEM LTDA  EPP"</f>
        <v>DATACOP COMERCIO E SERVICOS DE MICROFILMAGEM LTDA  EPP</v>
      </c>
      <c r="D126" s="19">
        <v>45809</v>
      </c>
      <c r="E126" s="19">
        <v>47635</v>
      </c>
      <c r="F126" s="36">
        <v>34000</v>
      </c>
      <c r="G126" s="37">
        <v>7276.97</v>
      </c>
      <c r="H126" s="37">
        <v>26723.03</v>
      </c>
    </row>
    <row r="127" spans="2:8" x14ac:dyDescent="0.35">
      <c r="B127" s="39">
        <v>11751</v>
      </c>
      <c r="C127" s="28" t="str">
        <f>"TOTVS SA"</f>
        <v>TOTVS SA</v>
      </c>
      <c r="D127" s="19">
        <v>45717</v>
      </c>
      <c r="E127" s="19">
        <v>47543</v>
      </c>
      <c r="F127" s="36">
        <v>1223406.1299999999</v>
      </c>
      <c r="G127" s="37">
        <v>358410.09</v>
      </c>
      <c r="H127" s="37">
        <v>864996.04</v>
      </c>
    </row>
    <row r="128" spans="2:8" x14ac:dyDescent="0.35">
      <c r="B128" s="39">
        <v>11757</v>
      </c>
      <c r="C128" s="28" t="str">
        <f>"LAVANDERIA MORRO CHIC LTDA"</f>
        <v>LAVANDERIA MORRO CHIC LTDA</v>
      </c>
      <c r="D128" s="19" t="s">
        <v>480</v>
      </c>
      <c r="E128" s="19" t="s">
        <v>481</v>
      </c>
      <c r="F128" s="36">
        <v>195744</v>
      </c>
      <c r="G128" s="37">
        <v>52251.23</v>
      </c>
      <c r="H128" s="37">
        <v>143492.76999999999</v>
      </c>
    </row>
    <row r="129" spans="2:8" x14ac:dyDescent="0.35">
      <c r="B129" s="39">
        <v>11759</v>
      </c>
      <c r="C129" s="28" t="str">
        <f>"PREFEITURA MUNICIPAL DE CONTAGEM"</f>
        <v>PREFEITURA MUNICIPAL DE CONTAGEM</v>
      </c>
      <c r="D129" s="19">
        <v>45840</v>
      </c>
      <c r="E129" s="19">
        <v>46938</v>
      </c>
      <c r="F129" s="36">
        <v>5378920.8700000001</v>
      </c>
      <c r="G129" s="37">
        <v>2304871.98</v>
      </c>
      <c r="H129" s="37">
        <v>3074048.89</v>
      </c>
    </row>
    <row r="130" spans="2:8" x14ac:dyDescent="0.35">
      <c r="B130" s="39">
        <v>11764</v>
      </c>
      <c r="C130" s="28" t="str">
        <f>"INSTITUTO BRASILEIRO DE GOVERNANCA CORPORATIVA"</f>
        <v>INSTITUTO BRASILEIRO DE GOVERNANCA CORPORATIVA</v>
      </c>
      <c r="D130" s="19" t="s">
        <v>486</v>
      </c>
      <c r="E130" s="19" t="s">
        <v>487</v>
      </c>
      <c r="F130" s="36">
        <v>19560</v>
      </c>
      <c r="G130" s="37">
        <v>0</v>
      </c>
      <c r="H130" s="37">
        <v>19560</v>
      </c>
    </row>
    <row r="131" spans="2:8" x14ac:dyDescent="0.35">
      <c r="B131" s="39">
        <v>11768</v>
      </c>
      <c r="C131" s="28" t="str">
        <f>"SOCIEDADE MINEIRA DE CULTURA"</f>
        <v>SOCIEDADE MINEIRA DE CULTURA</v>
      </c>
      <c r="D131" s="19" t="s">
        <v>490</v>
      </c>
      <c r="E131" s="19" t="s">
        <v>491</v>
      </c>
      <c r="F131" s="36">
        <v>259047</v>
      </c>
      <c r="G131" s="37">
        <v>259046.99</v>
      </c>
      <c r="H131" s="37">
        <v>0.01</v>
      </c>
    </row>
    <row r="132" spans="2:8" x14ac:dyDescent="0.35">
      <c r="B132" s="39">
        <v>11771</v>
      </c>
      <c r="C132" s="28" t="str">
        <f>"GRENA ARQUITETURA E URBANISMO LTDA"</f>
        <v>GRENA ARQUITETURA E URBANISMO LTDA</v>
      </c>
      <c r="D132" s="19" t="s">
        <v>495</v>
      </c>
      <c r="E132" s="19" t="s">
        <v>496</v>
      </c>
      <c r="F132" s="36">
        <v>337500</v>
      </c>
      <c r="G132" s="37">
        <v>209250</v>
      </c>
      <c r="H132" s="37">
        <v>128250</v>
      </c>
    </row>
    <row r="133" spans="2:8" x14ac:dyDescent="0.35">
      <c r="B133" s="39">
        <v>11772</v>
      </c>
      <c r="C133" s="28" t="str">
        <f>"DME DISTRIBUICAO SA  DMED"</f>
        <v>DME DISTRIBUICAO SA  DMED</v>
      </c>
      <c r="D133" s="19">
        <v>45994</v>
      </c>
      <c r="E133" s="19">
        <v>46724</v>
      </c>
      <c r="F133" s="36">
        <v>562990.51</v>
      </c>
      <c r="G133" s="37">
        <v>228097.71</v>
      </c>
      <c r="H133" s="37">
        <v>334892.79999999999</v>
      </c>
    </row>
    <row r="134" spans="2:8" x14ac:dyDescent="0.35">
      <c r="B134" s="39">
        <v>11773</v>
      </c>
      <c r="C134" s="28" t="str">
        <f>"GRID  ENERGIA SERVICOS E SOLUCOES LTDA"</f>
        <v>GRID  ENERGIA SERVICOS E SOLUCOES LTDA</v>
      </c>
      <c r="D134" s="19">
        <v>45841</v>
      </c>
      <c r="E134" s="19" t="s">
        <v>503</v>
      </c>
      <c r="F134" s="36">
        <v>23747.16</v>
      </c>
      <c r="G134" s="37">
        <v>17660.7</v>
      </c>
      <c r="H134" s="37">
        <v>6086.46</v>
      </c>
    </row>
    <row r="135" spans="2:8" x14ac:dyDescent="0.35">
      <c r="B135" s="39">
        <v>11779</v>
      </c>
      <c r="C135" s="28" t="str">
        <f>"SECRETARIA DE ESTADO DE CULTURA"</f>
        <v>SECRETARIA DE ESTADO DE CULTURA</v>
      </c>
      <c r="D135" s="19" t="s">
        <v>507</v>
      </c>
      <c r="E135" s="19" t="s">
        <v>40</v>
      </c>
      <c r="F135" s="36">
        <v>20480000</v>
      </c>
      <c r="G135" s="37">
        <v>18480000</v>
      </c>
      <c r="H135" s="37">
        <v>2000000</v>
      </c>
    </row>
    <row r="136" spans="2:8" x14ac:dyDescent="0.35">
      <c r="B136" s="39">
        <v>11787</v>
      </c>
      <c r="C136" s="28" t="str">
        <f>"CHUBB SEGUROS BRASIL S A"</f>
        <v>CHUBB SEGUROS BRASIL S A</v>
      </c>
      <c r="D136" s="19">
        <v>45813</v>
      </c>
      <c r="E136" s="19">
        <v>46543</v>
      </c>
      <c r="F136" s="36">
        <v>74400</v>
      </c>
      <c r="G136" s="37">
        <v>37200</v>
      </c>
      <c r="H136" s="37">
        <v>37200</v>
      </c>
    </row>
    <row r="137" spans="2:8" x14ac:dyDescent="0.35">
      <c r="B137" s="39">
        <v>11788</v>
      </c>
      <c r="C137" s="28" t="str">
        <f>"BVIX SEGURADORA SA"</f>
        <v>BVIX SEGURADORA SA</v>
      </c>
      <c r="D137" s="19" t="s">
        <v>513</v>
      </c>
      <c r="E137" s="19" t="s">
        <v>514</v>
      </c>
      <c r="F137" s="36">
        <v>31708.89</v>
      </c>
      <c r="G137" s="37">
        <v>22200</v>
      </c>
      <c r="H137" s="37">
        <v>9508.89</v>
      </c>
    </row>
    <row r="138" spans="2:8" x14ac:dyDescent="0.35">
      <c r="B138" s="39">
        <v>11789</v>
      </c>
      <c r="C138" s="28" t="str">
        <f>"ASSOCIACAO  DOS AMIGOS DO CENTRO CULTURAL BELO  HORIZONTE"</f>
        <v>ASSOCIACAO  DOS AMIGOS DO CENTRO CULTURAL BELO  HORIZONTE</v>
      </c>
      <c r="D138" s="19" t="s">
        <v>518</v>
      </c>
      <c r="E138" s="19" t="s">
        <v>519</v>
      </c>
      <c r="F138" s="36">
        <v>3595587.31</v>
      </c>
      <c r="G138" s="37">
        <v>3489011</v>
      </c>
      <c r="H138" s="37">
        <v>106576.31</v>
      </c>
    </row>
    <row r="139" spans="2:8" x14ac:dyDescent="0.35">
      <c r="B139" s="39">
        <v>11795</v>
      </c>
      <c r="C139" s="28" t="str">
        <f>"GOLDMAN SACHS DO BRASIL BANCO MULTIPLO SA"</f>
        <v>GOLDMAN SACHS DO BRASIL BANCO MULTIPLO SA</v>
      </c>
      <c r="D139" s="19">
        <v>45996</v>
      </c>
      <c r="E139" s="19" t="s">
        <v>40</v>
      </c>
      <c r="F139" s="36">
        <v>23186137.239999998</v>
      </c>
      <c r="G139" s="37">
        <v>7009534.5099999998</v>
      </c>
      <c r="H139" s="37">
        <v>16176602.73</v>
      </c>
    </row>
    <row r="140" spans="2:8" x14ac:dyDescent="0.35">
      <c r="B140" s="39">
        <v>11805</v>
      </c>
      <c r="C140" s="28" t="str">
        <f>"TOLENTINO ADVOGADOS"</f>
        <v>TOLENTINO ADVOGADOS</v>
      </c>
      <c r="D140" s="19" t="s">
        <v>526</v>
      </c>
      <c r="E140" s="19" t="s">
        <v>40</v>
      </c>
      <c r="F140" s="36">
        <v>6058351</v>
      </c>
      <c r="G140" s="37">
        <v>5464157.9100000001</v>
      </c>
      <c r="H140" s="37">
        <v>594193.09</v>
      </c>
    </row>
    <row r="141" spans="2:8" ht="29" x14ac:dyDescent="0.35">
      <c r="B141" s="39">
        <v>11806</v>
      </c>
      <c r="C141" s="28" t="str">
        <f>"LICITAPRO CONSULTORIA EM LICITACOES E GESTAO DE CONTRATOS UNIPESSOAL LTDA"</f>
        <v>LICITAPRO CONSULTORIA EM LICITACOES E GESTAO DE CONTRATOS UNIPESSOAL LTDA</v>
      </c>
      <c r="D141" s="19" t="s">
        <v>528</v>
      </c>
      <c r="E141" s="19" t="s">
        <v>529</v>
      </c>
      <c r="F141" s="36">
        <v>470950</v>
      </c>
      <c r="G141" s="37">
        <v>0</v>
      </c>
      <c r="H141" s="37">
        <v>470950</v>
      </c>
    </row>
    <row r="142" spans="2:8" x14ac:dyDescent="0.35">
      <c r="B142" s="39">
        <v>11808</v>
      </c>
      <c r="C142" s="28" t="str">
        <f>"CONFEDERACAO BRASILEIRA DO DESPORTO ESCOLAR"</f>
        <v>CONFEDERACAO BRASILEIRA DO DESPORTO ESCOLAR</v>
      </c>
      <c r="D142" s="19" t="s">
        <v>531</v>
      </c>
      <c r="E142" s="19" t="s">
        <v>308</v>
      </c>
      <c r="F142" s="36">
        <v>20000000</v>
      </c>
      <c r="G142" s="37">
        <v>20000000</v>
      </c>
      <c r="H142" s="37">
        <v>0</v>
      </c>
    </row>
    <row r="143" spans="2:8" x14ac:dyDescent="0.35">
      <c r="B143" s="39">
        <v>11815</v>
      </c>
      <c r="C143" s="28" t="str">
        <f>"PRICEWATERHOUSECOOPERS AUDITORES INDEPENDENTES"</f>
        <v>PRICEWATERHOUSECOOPERS AUDITORES INDEPENDENTES</v>
      </c>
      <c r="D143" s="19" t="s">
        <v>535</v>
      </c>
      <c r="E143" s="19" t="s">
        <v>536</v>
      </c>
      <c r="F143" s="36">
        <v>4680898.2</v>
      </c>
      <c r="G143" s="37">
        <v>1379534.4</v>
      </c>
      <c r="H143" s="37">
        <v>3301363.8</v>
      </c>
    </row>
    <row r="144" spans="2:8" x14ac:dyDescent="0.35">
      <c r="B144" s="39">
        <v>11816</v>
      </c>
      <c r="C144" s="28" t="str">
        <f>"SANITOP COMERCIAL LTDA"</f>
        <v>SANITOP COMERCIAL LTDA</v>
      </c>
      <c r="D144" s="19" t="s">
        <v>540</v>
      </c>
      <c r="E144" s="19" t="s">
        <v>541</v>
      </c>
      <c r="F144" s="36">
        <v>34778.86</v>
      </c>
      <c r="G144" s="37">
        <v>12982.27</v>
      </c>
      <c r="H144" s="37">
        <v>21796.59</v>
      </c>
    </row>
    <row r="145" spans="2:8" x14ac:dyDescent="0.35">
      <c r="B145" s="39">
        <v>11817</v>
      </c>
      <c r="C145" s="28" t="str">
        <f>"AUSTRAL SEGURADORA S A"</f>
        <v>AUSTRAL SEGURADORA S A</v>
      </c>
      <c r="D145" s="19" t="s">
        <v>544</v>
      </c>
      <c r="E145" s="19" t="s">
        <v>545</v>
      </c>
      <c r="F145" s="36">
        <v>966000</v>
      </c>
      <c r="G145" s="37">
        <v>483000</v>
      </c>
      <c r="H145" s="37">
        <v>483000</v>
      </c>
    </row>
    <row r="146" spans="2:8" x14ac:dyDescent="0.35">
      <c r="B146" s="39">
        <v>11820</v>
      </c>
      <c r="C146" s="28" t="str">
        <f>"ATLAS GOVERNANCE TECNOLOGIA LTDA"</f>
        <v>ATLAS GOVERNANCE TECNOLOGIA LTDA</v>
      </c>
      <c r="D146" s="19" t="s">
        <v>535</v>
      </c>
      <c r="E146" s="19" t="s">
        <v>549</v>
      </c>
      <c r="F146" s="36">
        <v>440030.89</v>
      </c>
      <c r="G146" s="37">
        <v>173757.72</v>
      </c>
      <c r="H146" s="37">
        <v>266273.17</v>
      </c>
    </row>
    <row r="147" spans="2:8" x14ac:dyDescent="0.35">
      <c r="B147" s="39">
        <v>11821</v>
      </c>
      <c r="C147" s="28" t="str">
        <f>"90 TECNOLOGIA DA INFORMACAO LTDA"</f>
        <v>90 TECNOLOGIA DA INFORMACAO LTDA</v>
      </c>
      <c r="D147" s="19" t="s">
        <v>551</v>
      </c>
      <c r="E147" s="19" t="s">
        <v>545</v>
      </c>
      <c r="F147" s="36">
        <v>4956</v>
      </c>
      <c r="G147" s="37">
        <v>4956</v>
      </c>
      <c r="H147" s="37">
        <v>0</v>
      </c>
    </row>
    <row r="148" spans="2:8" x14ac:dyDescent="0.35">
      <c r="B148" s="39">
        <v>11822</v>
      </c>
      <c r="C148" s="28" t="str">
        <f>"90 TECNOLOGIA DA INFORMACAO LTDA"</f>
        <v>90 TECNOLOGIA DA INFORMACAO LTDA</v>
      </c>
      <c r="D148" s="19" t="s">
        <v>551</v>
      </c>
      <c r="E148" s="19" t="s">
        <v>545</v>
      </c>
      <c r="F148" s="36">
        <v>14250.82</v>
      </c>
      <c r="G148" s="37">
        <v>14250.82</v>
      </c>
      <c r="H148" s="37">
        <v>0</v>
      </c>
    </row>
    <row r="149" spans="2:8" x14ac:dyDescent="0.35">
      <c r="B149" s="39">
        <v>11829</v>
      </c>
      <c r="C149" s="28" t="str">
        <f>"FUNDACAO INSTITUTO DE PESQUISAS ECONOMICAS FIPE"</f>
        <v>FUNDACAO INSTITUTO DE PESQUISAS ECONOMICAS FIPE</v>
      </c>
      <c r="D149" s="19">
        <v>45723</v>
      </c>
      <c r="E149" s="19">
        <v>46092</v>
      </c>
      <c r="F149" s="36">
        <v>1677000</v>
      </c>
      <c r="G149" s="37">
        <v>1173900</v>
      </c>
      <c r="H149" s="37">
        <v>503100</v>
      </c>
    </row>
    <row r="150" spans="2:8" x14ac:dyDescent="0.35">
      <c r="B150" s="39">
        <v>11835</v>
      </c>
      <c r="C150" s="28" t="str">
        <f>"JOSE ARTHUR ROCHA ARAUJO  ME"</f>
        <v>JOSE ARTHUR ROCHA ARAUJO  ME</v>
      </c>
      <c r="D150" s="19">
        <v>45452</v>
      </c>
      <c r="E150" s="19">
        <v>46182</v>
      </c>
      <c r="F150" s="36">
        <v>752799.7</v>
      </c>
      <c r="G150" s="37">
        <v>0</v>
      </c>
      <c r="H150" s="37">
        <v>752799.7</v>
      </c>
    </row>
    <row r="151" spans="2:8" x14ac:dyDescent="0.35">
      <c r="B151" s="39">
        <v>11839</v>
      </c>
      <c r="C151" s="28" t="str">
        <f>"AGROMINAS COMERCIO DE PLANTAS LTDA"</f>
        <v>AGROMINAS COMERCIO DE PLANTAS LTDA</v>
      </c>
      <c r="D151" s="19" t="s">
        <v>559</v>
      </c>
      <c r="E151" s="19" t="s">
        <v>560</v>
      </c>
      <c r="F151" s="36">
        <v>344300</v>
      </c>
      <c r="G151" s="37">
        <v>0</v>
      </c>
      <c r="H151" s="37">
        <v>344300</v>
      </c>
    </row>
    <row r="152" spans="2:8" x14ac:dyDescent="0.35">
      <c r="B152" s="39">
        <v>11842</v>
      </c>
      <c r="C152" s="28" t="str">
        <f>"B3 S A   BRASIL BOLSA BALCAO"</f>
        <v>B3 S A   BRASIL BOLSA BALCAO</v>
      </c>
      <c r="D152" s="19">
        <v>45969</v>
      </c>
      <c r="E152" s="19">
        <v>47795</v>
      </c>
      <c r="F152" s="36">
        <v>3299766.59</v>
      </c>
      <c r="G152" s="37">
        <v>124967.7</v>
      </c>
      <c r="H152" s="37">
        <v>3174798.89</v>
      </c>
    </row>
    <row r="153" spans="2:8" x14ac:dyDescent="0.35">
      <c r="B153" s="39">
        <v>11849</v>
      </c>
      <c r="C153" s="28" t="str">
        <f>"CH DEDETIZADORA LTDA"</f>
        <v>CH DEDETIZADORA LTDA</v>
      </c>
      <c r="D153" s="19">
        <v>45877</v>
      </c>
      <c r="E153" s="19">
        <v>46242</v>
      </c>
      <c r="F153" s="36">
        <v>5400</v>
      </c>
      <c r="G153" s="37">
        <v>5400</v>
      </c>
      <c r="H153" s="37">
        <v>0</v>
      </c>
    </row>
    <row r="154" spans="2:8" x14ac:dyDescent="0.35">
      <c r="B154" s="39">
        <v>11853</v>
      </c>
      <c r="C154" s="28" t="str">
        <f>"INTERACT SOLUTIONS LTDA"</f>
        <v>INTERACT SOLUTIONS LTDA</v>
      </c>
      <c r="D154" s="19" t="s">
        <v>568</v>
      </c>
      <c r="E154" s="19" t="s">
        <v>569</v>
      </c>
      <c r="F154" s="36">
        <v>200912.99</v>
      </c>
      <c r="G154" s="37">
        <v>75377.91</v>
      </c>
      <c r="H154" s="37">
        <v>125535.08</v>
      </c>
    </row>
    <row r="155" spans="2:8" x14ac:dyDescent="0.35">
      <c r="B155" s="39">
        <v>11855</v>
      </c>
      <c r="C155" s="28" t="str">
        <f>"PRODEMGE  CIA DE TECNOL DA INFORMACAO DE MG"</f>
        <v>PRODEMGE  CIA DE TECNOL DA INFORMACAO DE MG</v>
      </c>
      <c r="D155" s="19" t="s">
        <v>573</v>
      </c>
      <c r="E155" s="19" t="s">
        <v>574</v>
      </c>
      <c r="F155" s="36">
        <v>567889.92000000004</v>
      </c>
      <c r="G155" s="37">
        <v>143507.79999999999</v>
      </c>
      <c r="H155" s="37">
        <v>424382.12</v>
      </c>
    </row>
    <row r="156" spans="2:8" x14ac:dyDescent="0.35">
      <c r="B156" s="39">
        <v>11859</v>
      </c>
      <c r="C156" s="28" t="str">
        <f>"INSTITUTO REDE BRASIL DO PACTO GLOBAL"</f>
        <v>INSTITUTO REDE BRASIL DO PACTO GLOBAL</v>
      </c>
      <c r="D156" s="19">
        <v>45994</v>
      </c>
      <c r="E156" s="19">
        <v>46724</v>
      </c>
      <c r="F156" s="36">
        <v>5034.1499999999996</v>
      </c>
      <c r="G156" s="37">
        <v>0</v>
      </c>
      <c r="H156" s="37">
        <v>5034.1499999999996</v>
      </c>
    </row>
    <row r="157" spans="2:8" x14ac:dyDescent="0.35">
      <c r="B157" s="39">
        <v>11860</v>
      </c>
      <c r="C157" s="28" t="str">
        <f>"EXTINTORES MINAS GERAIS LTDA EPP"</f>
        <v>EXTINTORES MINAS GERAIS LTDA EPP</v>
      </c>
      <c r="D157" s="19" t="s">
        <v>579</v>
      </c>
      <c r="E157" s="19" t="s">
        <v>580</v>
      </c>
      <c r="F157" s="36">
        <v>87535</v>
      </c>
      <c r="G157" s="37">
        <v>18268.5</v>
      </c>
      <c r="H157" s="37">
        <v>69266.5</v>
      </c>
    </row>
    <row r="158" spans="2:8" x14ac:dyDescent="0.35">
      <c r="B158" s="39">
        <v>11861</v>
      </c>
      <c r="C158" s="28" t="str">
        <f>"SOLANO TECNOLOGIA EMPRESARIAL LTDA ME"</f>
        <v>SOLANO TECNOLOGIA EMPRESARIAL LTDA ME</v>
      </c>
      <c r="D158" s="19" t="s">
        <v>583</v>
      </c>
      <c r="E158" s="19" t="s">
        <v>584</v>
      </c>
      <c r="F158" s="36">
        <v>2960</v>
      </c>
      <c r="G158" s="37">
        <v>6200000</v>
      </c>
      <c r="H158" s="37">
        <v>2340</v>
      </c>
    </row>
    <row r="159" spans="2:8" x14ac:dyDescent="0.35">
      <c r="B159" s="39">
        <v>11862</v>
      </c>
      <c r="C159" s="28" t="str">
        <f>"PIRONTI ADVOGADOS E CONSULTORES ASSOCIADOS"</f>
        <v>PIRONTI ADVOGADOS E CONSULTORES ASSOCIADOS</v>
      </c>
      <c r="D159" s="19" t="s">
        <v>588</v>
      </c>
      <c r="E159" s="19" t="s">
        <v>589</v>
      </c>
      <c r="F159" s="36">
        <v>649800</v>
      </c>
      <c r="G159" s="37">
        <v>595650</v>
      </c>
      <c r="H159" s="37">
        <v>54150</v>
      </c>
    </row>
    <row r="160" spans="2:8" x14ac:dyDescent="0.35">
      <c r="B160" s="39">
        <v>11863</v>
      </c>
      <c r="C160" s="28" t="str">
        <f>"INSTITUTO  MUNDU"</f>
        <v>INSTITUTO  MUNDU</v>
      </c>
      <c r="D160" s="19" t="s">
        <v>591</v>
      </c>
      <c r="E160" s="19" t="s">
        <v>40</v>
      </c>
      <c r="F160" s="36">
        <v>11821714.99</v>
      </c>
      <c r="G160" s="37">
        <v>11821714.99</v>
      </c>
      <c r="H160" s="37">
        <v>0</v>
      </c>
    </row>
    <row r="161" spans="2:8" x14ac:dyDescent="0.35">
      <c r="B161" s="39">
        <v>11868</v>
      </c>
      <c r="C161" s="28" t="str">
        <f>"EMPRESA DE PESQUISA AGROPECUARIA DE MINAS GERAIS"</f>
        <v>EMPRESA DE PESQUISA AGROPECUARIA DE MINAS GERAIS</v>
      </c>
      <c r="D161" s="19">
        <v>45878</v>
      </c>
      <c r="E161" s="19">
        <v>46212</v>
      </c>
      <c r="F161" s="36">
        <v>58650</v>
      </c>
      <c r="G161" s="37">
        <v>39330</v>
      </c>
      <c r="H161" s="37">
        <v>19320</v>
      </c>
    </row>
    <row r="162" spans="2:8" x14ac:dyDescent="0.35">
      <c r="B162" s="39">
        <v>11870</v>
      </c>
      <c r="C162" s="28" t="str">
        <f>"PPN TECNOLOGIA E  INFORMATICA LTDA"</f>
        <v>PPN TECNOLOGIA E  INFORMATICA LTDA</v>
      </c>
      <c r="D162" s="19" t="s">
        <v>598</v>
      </c>
      <c r="E162" s="19" t="s">
        <v>599</v>
      </c>
      <c r="F162" s="36">
        <v>3455983.02</v>
      </c>
      <c r="G162" s="37">
        <v>3394663.02</v>
      </c>
      <c r="H162" s="37">
        <v>61320</v>
      </c>
    </row>
    <row r="163" spans="2:8" x14ac:dyDescent="0.35">
      <c r="B163" s="39">
        <v>11873</v>
      </c>
      <c r="C163" s="28" t="str">
        <f>"ALELO INSTITUICAO  DE PAGAMENTO SA"</f>
        <v>ALELO INSTITUICAO  DE PAGAMENTO SA</v>
      </c>
      <c r="D163" s="19">
        <v>45910</v>
      </c>
      <c r="E163" s="19">
        <v>46275</v>
      </c>
      <c r="F163" s="36">
        <v>7113659.0999999996</v>
      </c>
      <c r="G163" s="37">
        <v>4480409.25</v>
      </c>
      <c r="H163" s="37">
        <v>2633249.85</v>
      </c>
    </row>
    <row r="164" spans="2:8" x14ac:dyDescent="0.35">
      <c r="B164" s="39">
        <v>11875</v>
      </c>
      <c r="C164" s="28" t="str">
        <f>"MINASBEV BEBIDAS DO BRASIL SA"</f>
        <v>MINASBEV BEBIDAS DO BRASIL SA</v>
      </c>
      <c r="D164" s="19" t="s">
        <v>604</v>
      </c>
      <c r="E164" s="19" t="s">
        <v>605</v>
      </c>
      <c r="F164" s="36">
        <v>5150.0789999999997</v>
      </c>
      <c r="G164" s="37">
        <v>0</v>
      </c>
      <c r="H164" s="37">
        <v>5150.0789999999997</v>
      </c>
    </row>
    <row r="165" spans="2:8" x14ac:dyDescent="0.35">
      <c r="B165" s="39">
        <v>11879</v>
      </c>
      <c r="C165" s="28" t="str">
        <f>"GUIDO A PALOMBA CLINICA MEDICA LTDA"</f>
        <v>GUIDO A PALOMBA CLINICA MEDICA LTDA</v>
      </c>
      <c r="D165" s="19" t="s">
        <v>607</v>
      </c>
      <c r="E165" s="19" t="s">
        <v>608</v>
      </c>
      <c r="F165" s="36">
        <v>129926.38</v>
      </c>
      <c r="G165" s="37">
        <v>129926.38</v>
      </c>
      <c r="H165" s="37">
        <v>0</v>
      </c>
    </row>
    <row r="166" spans="2:8" x14ac:dyDescent="0.35">
      <c r="B166" s="39">
        <v>11881</v>
      </c>
      <c r="C166" s="28" t="str">
        <f>"AACP SERVICO AMBIENTAL EIRELIME"</f>
        <v>AACP SERVICO AMBIENTAL EIRELIME</v>
      </c>
      <c r="D166" s="19" t="s">
        <v>612</v>
      </c>
      <c r="E166" s="19" t="s">
        <v>613</v>
      </c>
      <c r="F166" s="36">
        <v>33300</v>
      </c>
      <c r="G166" s="37">
        <v>10300</v>
      </c>
      <c r="H166" s="37">
        <v>23000</v>
      </c>
    </row>
    <row r="167" spans="2:8" x14ac:dyDescent="0.35">
      <c r="B167" s="39">
        <v>11883</v>
      </c>
      <c r="C167" s="28" t="str">
        <f>"FORTE SEGURANCA ELETRONICA LTDA"</f>
        <v>FORTE SEGURANCA ELETRONICA LTDA</v>
      </c>
      <c r="D167" s="19" t="s">
        <v>612</v>
      </c>
      <c r="E167" s="19" t="s">
        <v>617</v>
      </c>
      <c r="F167" s="36">
        <v>9360</v>
      </c>
      <c r="G167" s="37">
        <v>6240</v>
      </c>
      <c r="H167" s="37">
        <v>3120</v>
      </c>
    </row>
    <row r="168" spans="2:8" x14ac:dyDescent="0.35">
      <c r="B168" s="39">
        <v>11892</v>
      </c>
      <c r="C168" s="28" t="str">
        <f>"MED LEGAL SOLUCOES MEDICAS LTDA"</f>
        <v>MED LEGAL SOLUCOES MEDICAS LTDA</v>
      </c>
      <c r="D168" s="19">
        <v>45879</v>
      </c>
      <c r="E168" s="19">
        <v>46609</v>
      </c>
      <c r="F168" s="36">
        <v>6393.2</v>
      </c>
      <c r="G168" s="37">
        <v>6393.2</v>
      </c>
      <c r="H168" s="37">
        <v>0</v>
      </c>
    </row>
    <row r="169" spans="2:8" x14ac:dyDescent="0.35">
      <c r="B169" s="39">
        <v>11894</v>
      </c>
      <c r="C169" s="28" t="str">
        <f>"MALAB PRODUCOES LTDA"</f>
        <v>MALAB PRODUCOES LTDA</v>
      </c>
      <c r="D169" s="19" t="s">
        <v>620</v>
      </c>
      <c r="E169" s="19" t="s">
        <v>621</v>
      </c>
      <c r="F169" s="36">
        <v>550000</v>
      </c>
      <c r="G169" s="37">
        <v>550000</v>
      </c>
      <c r="H169" s="37">
        <v>0</v>
      </c>
    </row>
    <row r="170" spans="2:8" x14ac:dyDescent="0.35">
      <c r="B170" s="39">
        <v>11897</v>
      </c>
      <c r="C170" s="28" t="str">
        <f>"CREATIF  EVENTOS  LTDA"</f>
        <v>CREATIF  EVENTOS  LTDA</v>
      </c>
      <c r="D170" s="19" t="s">
        <v>598</v>
      </c>
      <c r="E170" s="19" t="s">
        <v>46</v>
      </c>
      <c r="F170" s="36">
        <v>100000</v>
      </c>
      <c r="G170" s="37">
        <v>95000</v>
      </c>
      <c r="H170" s="37">
        <v>5000</v>
      </c>
    </row>
    <row r="171" spans="2:8" x14ac:dyDescent="0.35">
      <c r="B171" s="39">
        <v>11899</v>
      </c>
      <c r="C171" s="28" t="str">
        <f>"AGRO LIMPEZA E CONSERVACAO LTDA"</f>
        <v>AGRO LIMPEZA E CONSERVACAO LTDA</v>
      </c>
      <c r="D171" s="19" t="s">
        <v>620</v>
      </c>
      <c r="E171" s="19" t="s">
        <v>628</v>
      </c>
      <c r="F171" s="36">
        <v>3709000</v>
      </c>
      <c r="G171" s="37">
        <v>541559.14</v>
      </c>
      <c r="H171" s="37">
        <v>3167440.86</v>
      </c>
    </row>
    <row r="172" spans="2:8" x14ac:dyDescent="0.35">
      <c r="B172" s="39">
        <v>11900</v>
      </c>
      <c r="C172" s="28" t="str">
        <f>"IMAGEM GEOSISTEMAS  E  COMERCIO LTDA"</f>
        <v>IMAGEM GEOSISTEMAS  E  COMERCIO LTDA</v>
      </c>
      <c r="D172" s="19">
        <v>45819</v>
      </c>
      <c r="E172" s="19">
        <v>46153</v>
      </c>
      <c r="F172" s="36">
        <v>186341.34</v>
      </c>
      <c r="G172" s="37">
        <v>186341.34</v>
      </c>
      <c r="H172" s="37">
        <v>0</v>
      </c>
    </row>
    <row r="173" spans="2:8" x14ac:dyDescent="0.35">
      <c r="B173" s="39">
        <v>11902</v>
      </c>
      <c r="C173" s="28" t="str">
        <f>"ARAXA AMBIENTAL LTDA"</f>
        <v>ARAXA AMBIENTAL LTDA</v>
      </c>
      <c r="D173" s="19" t="s">
        <v>633</v>
      </c>
      <c r="E173" s="19" t="s">
        <v>496</v>
      </c>
      <c r="F173" s="36">
        <v>255780</v>
      </c>
      <c r="G173" s="37">
        <v>97720</v>
      </c>
      <c r="H173" s="37">
        <v>158060</v>
      </c>
    </row>
    <row r="174" spans="2:8" x14ac:dyDescent="0.35">
      <c r="B174" s="39">
        <v>11903</v>
      </c>
      <c r="C174" s="28" t="str">
        <f>"SGS GEOSOL LABORATORIOS LTDA"</f>
        <v>SGS GEOSOL LABORATORIOS LTDA</v>
      </c>
      <c r="D174" s="19">
        <v>45819</v>
      </c>
      <c r="E174" s="19">
        <v>46153</v>
      </c>
      <c r="F174" s="36">
        <v>2873959.74</v>
      </c>
      <c r="G174" s="37">
        <v>1440005.69</v>
      </c>
      <c r="H174" s="37">
        <v>1433954.05</v>
      </c>
    </row>
    <row r="175" spans="2:8" x14ac:dyDescent="0.35">
      <c r="B175" s="39">
        <v>11904</v>
      </c>
      <c r="C175" s="28" t="str">
        <f>"TOTVS SA"</f>
        <v>TOTVS SA</v>
      </c>
      <c r="D175" s="19" t="s">
        <v>620</v>
      </c>
      <c r="E175" s="19" t="s">
        <v>640</v>
      </c>
      <c r="F175" s="36">
        <v>129798.64</v>
      </c>
      <c r="G175" s="37">
        <v>74478.64</v>
      </c>
      <c r="H175" s="37">
        <v>55320</v>
      </c>
    </row>
    <row r="176" spans="2:8" x14ac:dyDescent="0.35">
      <c r="B176" s="39">
        <v>11908</v>
      </c>
      <c r="C176" s="28" t="str">
        <f>"SEMPRE EDITORA LTDA"</f>
        <v>SEMPRE EDITORA LTDA</v>
      </c>
      <c r="D176" s="19" t="s">
        <v>643</v>
      </c>
      <c r="E176" s="19" t="s">
        <v>644</v>
      </c>
      <c r="F176" s="36">
        <v>90000</v>
      </c>
      <c r="G176" s="37">
        <v>89850</v>
      </c>
      <c r="H176" s="37">
        <v>1500000</v>
      </c>
    </row>
    <row r="177" spans="2:8" x14ac:dyDescent="0.35">
      <c r="B177" s="39">
        <v>11909</v>
      </c>
      <c r="C177" s="28" t="str">
        <f>"CEMIG DISTRIBUICAO S A"</f>
        <v>CEMIG DISTRIBUICAO S A</v>
      </c>
      <c r="D177" s="19" t="s">
        <v>648</v>
      </c>
      <c r="E177" s="19" t="s">
        <v>649</v>
      </c>
      <c r="F177" s="36">
        <v>337040</v>
      </c>
      <c r="G177" s="37">
        <v>78643.12</v>
      </c>
      <c r="H177" s="37">
        <v>258396.88</v>
      </c>
    </row>
    <row r="178" spans="2:8" x14ac:dyDescent="0.35">
      <c r="B178" s="39">
        <v>11910</v>
      </c>
      <c r="C178" s="28" t="str">
        <f>"CEMIG DISTRIBUICAO S A"</f>
        <v>CEMIG DISTRIBUICAO S A</v>
      </c>
      <c r="D178" s="19" t="s">
        <v>648</v>
      </c>
      <c r="E178" s="19" t="s">
        <v>649</v>
      </c>
      <c r="F178" s="36">
        <v>76000</v>
      </c>
      <c r="G178" s="37">
        <v>0</v>
      </c>
      <c r="H178" s="37">
        <v>76000</v>
      </c>
    </row>
    <row r="179" spans="2:8" x14ac:dyDescent="0.35">
      <c r="B179" s="39">
        <v>11911</v>
      </c>
      <c r="C179" s="28" t="str">
        <f>"CONTEGO CONSULTORIA LTDA"</f>
        <v>CONTEGO CONSULTORIA LTDA</v>
      </c>
      <c r="D179" s="19">
        <v>45758</v>
      </c>
      <c r="E179" s="19">
        <v>46123</v>
      </c>
      <c r="F179" s="36">
        <v>165000</v>
      </c>
      <c r="G179" s="37">
        <v>101800</v>
      </c>
      <c r="H179" s="37">
        <v>63200</v>
      </c>
    </row>
    <row r="180" spans="2:8" x14ac:dyDescent="0.35">
      <c r="B180" s="39">
        <v>11912</v>
      </c>
      <c r="C180" s="28" t="str">
        <f>"CASA DO TURISMO DE BELO HORIZONTE"</f>
        <v>CASA DO TURISMO DE BELO HORIZONTE</v>
      </c>
      <c r="D180" s="19" t="s">
        <v>657</v>
      </c>
      <c r="E180" s="19" t="s">
        <v>541</v>
      </c>
      <c r="F180" s="36">
        <v>200000</v>
      </c>
      <c r="G180" s="37">
        <v>143130.29999999999</v>
      </c>
      <c r="H180" s="37">
        <v>56869.7</v>
      </c>
    </row>
    <row r="181" spans="2:8" x14ac:dyDescent="0.35">
      <c r="B181" s="39">
        <v>11913</v>
      </c>
      <c r="C181" s="28" t="str">
        <f>"LP COMERCIO E DISTRIBUICAO LTDA"</f>
        <v>LP COMERCIO E DISTRIBUICAO LTDA</v>
      </c>
      <c r="D181" s="19">
        <v>45727</v>
      </c>
      <c r="E181" s="19">
        <v>46092</v>
      </c>
      <c r="F181" s="36">
        <v>34472.5</v>
      </c>
      <c r="G181" s="37">
        <v>33309.599999999999</v>
      </c>
      <c r="H181" s="37">
        <v>1162.9000000000001</v>
      </c>
    </row>
    <row r="182" spans="2:8" x14ac:dyDescent="0.35">
      <c r="B182" s="39">
        <v>11915</v>
      </c>
      <c r="C182" s="28" t="str">
        <f>"CENTRO DE BIOLOGIA EXPERIMENTAL OCEANUS LTDA"</f>
        <v>CENTRO DE BIOLOGIA EXPERIMENTAL OCEANUS LTDA</v>
      </c>
      <c r="D182" s="19" t="s">
        <v>664</v>
      </c>
      <c r="E182" s="19" t="s">
        <v>665</v>
      </c>
      <c r="F182" s="36">
        <v>216554.8</v>
      </c>
      <c r="G182" s="37">
        <v>80670.45</v>
      </c>
      <c r="H182" s="37">
        <v>135884.35</v>
      </c>
    </row>
    <row r="183" spans="2:8" x14ac:dyDescent="0.35">
      <c r="B183" s="39">
        <v>11922</v>
      </c>
      <c r="C183" s="28" t="str">
        <f>"CONSORCIO TPF IBI  ENEJOTA ENEJOTA   SPALDING  SERTORI"</f>
        <v>CONSORCIO TPF IBI  ENEJOTA ENEJOTA   SPALDING  SERTORI</v>
      </c>
      <c r="D183" s="19">
        <v>46002</v>
      </c>
      <c r="E183" s="19">
        <v>46732</v>
      </c>
      <c r="F183" s="36">
        <v>7522594.6699999999</v>
      </c>
      <c r="G183" s="37">
        <v>225677.84</v>
      </c>
      <c r="H183" s="37">
        <v>7296916.8300000001</v>
      </c>
    </row>
    <row r="184" spans="2:8" x14ac:dyDescent="0.35">
      <c r="B184" s="39">
        <v>11925</v>
      </c>
      <c r="C184" s="28" t="str">
        <f>"CONSORCIO ENGECORPS MOYSES E PIRES ALVAREZ E MARSAL PLENA"</f>
        <v>CONSORCIO ENGECORPS MOYSES E PIRES ALVAREZ E MARSAL PLENA</v>
      </c>
      <c r="D184" s="19" t="s">
        <v>670</v>
      </c>
      <c r="E184" s="19" t="s">
        <v>159</v>
      </c>
      <c r="F184" s="36">
        <v>6175950</v>
      </c>
      <c r="G184" s="37">
        <v>0</v>
      </c>
      <c r="H184" s="37">
        <v>6175950</v>
      </c>
    </row>
    <row r="185" spans="2:8" x14ac:dyDescent="0.35">
      <c r="B185" s="39">
        <v>11927</v>
      </c>
      <c r="C185" s="28" t="str">
        <f>"ESPACO CULTURAL PALACIO DAS MANGABEIRAS SPE S A"</f>
        <v>ESPACO CULTURAL PALACIO DAS MANGABEIRAS SPE S A</v>
      </c>
      <c r="D185" s="19" t="s">
        <v>672</v>
      </c>
      <c r="E185" s="19" t="s">
        <v>621</v>
      </c>
      <c r="F185" s="36">
        <v>500000</v>
      </c>
      <c r="G185" s="37">
        <v>500000</v>
      </c>
      <c r="H185" s="37">
        <v>0</v>
      </c>
    </row>
    <row r="186" spans="2:8" x14ac:dyDescent="0.35">
      <c r="B186" s="39">
        <v>11928</v>
      </c>
      <c r="C186" s="28" t="str">
        <f>"NECTA INOVA CONTEUDOS ESTRATEGICOS LTDA"</f>
        <v>NECTA INOVA CONTEUDOS ESTRATEGICOS LTDA</v>
      </c>
      <c r="D186" s="19" t="s">
        <v>675</v>
      </c>
      <c r="E186" s="19" t="s">
        <v>676</v>
      </c>
      <c r="F186" s="36">
        <v>300000</v>
      </c>
      <c r="G186" s="37">
        <v>298480</v>
      </c>
      <c r="H186" s="37">
        <v>1520</v>
      </c>
    </row>
    <row r="187" spans="2:8" x14ac:dyDescent="0.35">
      <c r="B187" s="39">
        <v>11929</v>
      </c>
      <c r="C187" s="28" t="str">
        <f>"MS TRADUCOES LTDA"</f>
        <v>MS TRADUCOES LTDA</v>
      </c>
      <c r="D187" s="19" t="s">
        <v>678</v>
      </c>
      <c r="E187" s="19" t="s">
        <v>679</v>
      </c>
      <c r="F187" s="36">
        <v>45000</v>
      </c>
      <c r="G187" s="37">
        <v>0</v>
      </c>
      <c r="H187" s="37">
        <v>45000</v>
      </c>
    </row>
    <row r="188" spans="2:8" x14ac:dyDescent="0.35">
      <c r="B188" s="39">
        <v>11930</v>
      </c>
      <c r="C188" s="28" t="str">
        <f>"BASECAMP TREINAMENTO LTDA"</f>
        <v>BASECAMP TREINAMENTO LTDA</v>
      </c>
      <c r="D188" s="19" t="s">
        <v>683</v>
      </c>
      <c r="E188" s="19" t="s">
        <v>144</v>
      </c>
      <c r="F188" s="36">
        <v>700000</v>
      </c>
      <c r="G188" s="37">
        <v>525000</v>
      </c>
      <c r="H188" s="37">
        <v>175000</v>
      </c>
    </row>
    <row r="189" spans="2:8" x14ac:dyDescent="0.35">
      <c r="B189" s="39">
        <v>11931</v>
      </c>
      <c r="C189" s="28" t="str">
        <f>"SOLANO TECNOLOGIA EMPRESARIAL LTDA ME"</f>
        <v>SOLANO TECNOLOGIA EMPRESARIAL LTDA ME</v>
      </c>
      <c r="D189" s="19" t="s">
        <v>633</v>
      </c>
      <c r="E189" s="19" t="s">
        <v>687</v>
      </c>
      <c r="F189" s="36">
        <v>6500</v>
      </c>
      <c r="G189" s="37">
        <v>4667.5</v>
      </c>
      <c r="H189" s="37">
        <v>1832.5</v>
      </c>
    </row>
    <row r="190" spans="2:8" x14ac:dyDescent="0.35">
      <c r="B190" s="39">
        <v>11932</v>
      </c>
      <c r="C190" s="28" t="str">
        <f>"CEMIG DISTRIBUICAO S A"</f>
        <v>CEMIG DISTRIBUICAO S A</v>
      </c>
      <c r="D190" s="19" t="s">
        <v>691</v>
      </c>
      <c r="E190" s="19" t="s">
        <v>692</v>
      </c>
      <c r="F190" s="36">
        <v>2560582.56</v>
      </c>
      <c r="G190" s="37">
        <v>694785.59</v>
      </c>
      <c r="H190" s="37">
        <v>1865796.97</v>
      </c>
    </row>
    <row r="191" spans="2:8" x14ac:dyDescent="0.35">
      <c r="B191" s="39">
        <v>11933</v>
      </c>
      <c r="C191" s="28" t="str">
        <f>"AGUA MINERAL NATURAL FONTE E VIDA LTDA"</f>
        <v>AGUA MINERAL NATURAL FONTE E VIDA LTDA</v>
      </c>
      <c r="D191" s="19" t="s">
        <v>696</v>
      </c>
      <c r="E191" s="19" t="s">
        <v>296</v>
      </c>
      <c r="F191" s="36">
        <v>12300</v>
      </c>
      <c r="G191" s="37">
        <v>7483.76</v>
      </c>
      <c r="H191" s="37">
        <v>4816.24</v>
      </c>
    </row>
    <row r="192" spans="2:8" x14ac:dyDescent="0.35">
      <c r="B192" s="39">
        <v>11934</v>
      </c>
      <c r="C192" s="28" t="str">
        <f>"SWILE DO BRASIL SA"</f>
        <v>SWILE DO BRASIL SA</v>
      </c>
      <c r="D192" s="19" t="s">
        <v>700</v>
      </c>
      <c r="E192" s="19" t="s">
        <v>701</v>
      </c>
      <c r="F192" s="36">
        <v>227504.96</v>
      </c>
      <c r="G192" s="37">
        <v>218524.57</v>
      </c>
      <c r="H192" s="37">
        <v>8980.39</v>
      </c>
    </row>
    <row r="193" spans="2:8" x14ac:dyDescent="0.35">
      <c r="B193" s="39">
        <v>11938</v>
      </c>
      <c r="C193" s="28" t="str">
        <f>"CONSORCIO CEMIG SIM  GD III"</f>
        <v>CONSORCIO CEMIG SIM  GD III</v>
      </c>
      <c r="D193" s="19" t="s">
        <v>643</v>
      </c>
      <c r="E193" s="19" t="s">
        <v>705</v>
      </c>
      <c r="F193" s="36">
        <v>789833.35</v>
      </c>
      <c r="G193" s="37">
        <v>39106.75</v>
      </c>
      <c r="H193" s="37">
        <v>750726.6</v>
      </c>
    </row>
    <row r="194" spans="2:8" x14ac:dyDescent="0.35">
      <c r="B194" s="39">
        <v>11939</v>
      </c>
      <c r="C194" s="28" t="str">
        <f>"LIGA SUL MINEIRA DE DESPORTOS"</f>
        <v>LIGA SUL MINEIRA DE DESPORTOS</v>
      </c>
      <c r="D194" s="19" t="s">
        <v>707</v>
      </c>
      <c r="E194" s="19" t="s">
        <v>101</v>
      </c>
      <c r="F194" s="36">
        <v>99920</v>
      </c>
      <c r="G194" s="37">
        <v>99920</v>
      </c>
      <c r="H194" s="37">
        <v>0</v>
      </c>
    </row>
    <row r="195" spans="2:8" x14ac:dyDescent="0.35">
      <c r="B195" s="39">
        <v>11941</v>
      </c>
      <c r="C195" s="28" t="str">
        <f>"FUNDACAO CULTURAL ACIA"</f>
        <v>FUNDACAO CULTURAL ACIA</v>
      </c>
      <c r="D195" s="19" t="s">
        <v>709</v>
      </c>
      <c r="E195" s="19" t="s">
        <v>407</v>
      </c>
      <c r="F195" s="36">
        <v>350000</v>
      </c>
      <c r="G195" s="37">
        <v>350000</v>
      </c>
      <c r="H195" s="37">
        <v>0</v>
      </c>
    </row>
    <row r="196" spans="2:8" x14ac:dyDescent="0.35">
      <c r="B196" s="39">
        <v>11942</v>
      </c>
      <c r="C196" s="28" t="str">
        <f>"CERES INTELIGENCIA FINANCEIRA LTDA  EPP"</f>
        <v>CERES INTELIGENCIA FINANCEIRA LTDA  EPP</v>
      </c>
      <c r="D196" s="19">
        <v>46143</v>
      </c>
      <c r="E196" s="19">
        <v>46123</v>
      </c>
      <c r="F196" s="36">
        <v>752000</v>
      </c>
      <c r="G196" s="37">
        <v>300800</v>
      </c>
      <c r="H196" s="37">
        <v>451200</v>
      </c>
    </row>
    <row r="197" spans="2:8" ht="29" x14ac:dyDescent="0.35">
      <c r="B197" s="39">
        <v>11945</v>
      </c>
      <c r="C197" s="28" t="str">
        <f>"ASSOCIACAO ESPORTIVA DOS MUNICIPIOS DO SUL E SUDOESTE DE MINAS GERAIS  ASSESMIG"</f>
        <v>ASSOCIACAO ESPORTIVA DOS MUNICIPIOS DO SUL E SUDOESTE DE MINAS GERAIS  ASSESMIG</v>
      </c>
      <c r="D197" s="19" t="s">
        <v>716</v>
      </c>
      <c r="E197" s="19" t="s">
        <v>714</v>
      </c>
      <c r="F197" s="36">
        <v>105000</v>
      </c>
      <c r="G197" s="37">
        <v>100000</v>
      </c>
      <c r="H197" s="37">
        <v>5000</v>
      </c>
    </row>
    <row r="198" spans="2:8" x14ac:dyDescent="0.35">
      <c r="B198" s="39">
        <v>11946</v>
      </c>
      <c r="C198" s="28" t="str">
        <f>"CLUBE RECREATIVO JUVENTUDE ALFENAS"</f>
        <v>CLUBE RECREATIVO JUVENTUDE ALFENAS</v>
      </c>
      <c r="D198" s="19" t="s">
        <v>713</v>
      </c>
      <c r="E198" s="19" t="s">
        <v>79</v>
      </c>
      <c r="F198" s="36">
        <v>104837.14</v>
      </c>
      <c r="G198" s="37">
        <v>99677.14</v>
      </c>
      <c r="H198" s="37">
        <v>5160</v>
      </c>
    </row>
    <row r="199" spans="2:8" x14ac:dyDescent="0.35">
      <c r="B199" s="39">
        <v>11949</v>
      </c>
      <c r="C199" s="28" t="str">
        <f>"MINHA BIBLIOTECA LTDA"</f>
        <v>MINHA BIBLIOTECA LTDA</v>
      </c>
      <c r="D199" s="19" t="s">
        <v>722</v>
      </c>
      <c r="E199" s="19">
        <v>47059</v>
      </c>
      <c r="F199" s="36">
        <v>78960</v>
      </c>
      <c r="G199" s="37">
        <v>39480</v>
      </c>
      <c r="H199" s="37">
        <v>39480</v>
      </c>
    </row>
    <row r="200" spans="2:8" x14ac:dyDescent="0.35">
      <c r="B200" s="39">
        <v>11950</v>
      </c>
      <c r="C200" s="28" t="str">
        <f>"PREFEITURA MUNICIPAL DE FORMIGA"</f>
        <v>PREFEITURA MUNICIPAL DE FORMIGA</v>
      </c>
      <c r="D200" s="19" t="s">
        <v>722</v>
      </c>
      <c r="E200" s="19" t="s">
        <v>436</v>
      </c>
      <c r="F200" s="36">
        <v>100000</v>
      </c>
      <c r="G200" s="37">
        <v>100000</v>
      </c>
      <c r="H200" s="37">
        <v>0</v>
      </c>
    </row>
    <row r="201" spans="2:8" x14ac:dyDescent="0.35">
      <c r="B201" s="39">
        <v>11951</v>
      </c>
      <c r="C201" s="28" t="str">
        <f>"EDUCARE FORMACAO DESENVOLVIMENTO LTDA"</f>
        <v>EDUCARE FORMACAO DESENVOLVIMENTO LTDA</v>
      </c>
      <c r="D201" s="19" t="s">
        <v>722</v>
      </c>
      <c r="E201" s="19" t="s">
        <v>724</v>
      </c>
      <c r="F201" s="36">
        <v>2585883.88</v>
      </c>
      <c r="G201" s="37">
        <v>2585883.88</v>
      </c>
      <c r="H201" s="37">
        <v>0</v>
      </c>
    </row>
    <row r="202" spans="2:8" x14ac:dyDescent="0.35">
      <c r="B202" s="39">
        <v>11952</v>
      </c>
      <c r="C202" s="28" t="str">
        <f>"AMA ORGANIZACAO DA SOCIEDADE CIVIL"</f>
        <v>AMA ORGANIZACAO DA SOCIEDADE CIVIL</v>
      </c>
      <c r="D202" s="19" t="s">
        <v>722</v>
      </c>
      <c r="E202" s="19" t="s">
        <v>308</v>
      </c>
      <c r="F202" s="36">
        <v>3198771.2850000001</v>
      </c>
      <c r="G202" s="37">
        <v>3198771.28</v>
      </c>
      <c r="H202" s="37">
        <v>5.0000000000000001E-3</v>
      </c>
    </row>
    <row r="203" spans="2:8" x14ac:dyDescent="0.35">
      <c r="B203" s="39">
        <v>11953</v>
      </c>
      <c r="C203" s="28" t="str">
        <f>"SOCIEDADE BRASILEIRA DE CIRURGIA  BARIATRICA  E METABOLICA"</f>
        <v>SOCIEDADE BRASILEIRA DE CIRURGIA  BARIATRICA  E METABOLICA</v>
      </c>
      <c r="D203" s="19" t="s">
        <v>729</v>
      </c>
      <c r="E203" s="19" t="s">
        <v>730</v>
      </c>
      <c r="F203" s="36">
        <v>332000</v>
      </c>
      <c r="G203" s="37">
        <v>332000</v>
      </c>
      <c r="H203" s="37">
        <v>0</v>
      </c>
    </row>
    <row r="204" spans="2:8" ht="29" x14ac:dyDescent="0.35">
      <c r="B204" s="39">
        <v>11954</v>
      </c>
      <c r="C204" s="28" t="str">
        <f>"FEDERACAO DAS INSTANCIAS DE GOVERNANCA REGIONAL DE TURISMO DO ESTADO DE MINAS GE"</f>
        <v>FEDERACAO DAS INSTANCIAS DE GOVERNANCA REGIONAL DE TURISMO DO ESTADO DE MINAS GE</v>
      </c>
      <c r="D204" s="19" t="s">
        <v>722</v>
      </c>
      <c r="E204" s="19" t="s">
        <v>308</v>
      </c>
      <c r="F204" s="36">
        <v>5086606.4022000004</v>
      </c>
      <c r="G204" s="37">
        <v>5086471.0999999996</v>
      </c>
      <c r="H204" s="37">
        <v>1353022</v>
      </c>
    </row>
    <row r="205" spans="2:8" x14ac:dyDescent="0.35">
      <c r="B205" s="39">
        <v>11955</v>
      </c>
      <c r="C205" s="28" t="str">
        <f>"TECNETWORKING SERVICOS E SOLUCOES EM TI LTDA"</f>
        <v>TECNETWORKING SERVICOS E SOLUCOES EM TI LTDA</v>
      </c>
      <c r="D205" s="19" t="s">
        <v>729</v>
      </c>
      <c r="E205" s="19" t="s">
        <v>736</v>
      </c>
      <c r="F205" s="36">
        <v>538000</v>
      </c>
      <c r="G205" s="37">
        <v>486180</v>
      </c>
      <c r="H205" s="37">
        <v>51820</v>
      </c>
    </row>
    <row r="206" spans="2:8" x14ac:dyDescent="0.35">
      <c r="B206" s="39">
        <v>11957</v>
      </c>
      <c r="C206" s="28" t="str">
        <f>"DRIVE A INFORMATICA LTDA"</f>
        <v>DRIVE A INFORMATICA LTDA</v>
      </c>
      <c r="D206" s="19">
        <v>46143</v>
      </c>
      <c r="E206" s="19">
        <v>46508</v>
      </c>
      <c r="F206" s="36">
        <v>2070000</v>
      </c>
      <c r="G206" s="37">
        <v>0</v>
      </c>
      <c r="H206" s="37">
        <v>2070000</v>
      </c>
    </row>
    <row r="207" spans="2:8" x14ac:dyDescent="0.35">
      <c r="B207" s="39">
        <v>11958</v>
      </c>
      <c r="C207" s="28" t="str">
        <f>"INSTITUTO CULTURAL FILARMONICA"</f>
        <v>INSTITUTO CULTURAL FILARMONICA</v>
      </c>
      <c r="D207" s="19" t="s">
        <v>729</v>
      </c>
      <c r="E207" s="19" t="s">
        <v>738</v>
      </c>
      <c r="F207" s="36">
        <v>700000</v>
      </c>
      <c r="G207" s="37">
        <v>700000</v>
      </c>
      <c r="H207" s="37">
        <v>0</v>
      </c>
    </row>
    <row r="208" spans="2:8" x14ac:dyDescent="0.35">
      <c r="B208" s="39">
        <v>11965</v>
      </c>
      <c r="C208" s="28" t="str">
        <f>"INTERNATIONAL FINANCE CORPORATION"</f>
        <v>INTERNATIONAL FINANCE CORPORATION</v>
      </c>
      <c r="D208" s="19">
        <v>46083</v>
      </c>
      <c r="E208" s="19">
        <v>47179</v>
      </c>
      <c r="F208" s="36">
        <v>29396830.030000001</v>
      </c>
      <c r="G208" s="37">
        <v>2057778.13</v>
      </c>
      <c r="H208" s="37">
        <v>27339051.899999999</v>
      </c>
    </row>
    <row r="209" spans="2:8" x14ac:dyDescent="0.35">
      <c r="B209" s="39">
        <v>11972</v>
      </c>
      <c r="C209" s="28" t="str">
        <f>"ABC EMPREENDIMENTOS SEGURANCA E INCENDIO LTDA"</f>
        <v>ABC EMPREENDIMENTOS SEGURANCA E INCENDIO LTDA</v>
      </c>
      <c r="D209" s="19" t="s">
        <v>743</v>
      </c>
      <c r="E209" s="19" t="s">
        <v>481</v>
      </c>
      <c r="F209" s="36">
        <v>2386283.6</v>
      </c>
      <c r="G209" s="37">
        <v>0</v>
      </c>
      <c r="H209" s="37">
        <v>2386283.6</v>
      </c>
    </row>
    <row r="210" spans="2:8" x14ac:dyDescent="0.35">
      <c r="B210" s="39">
        <v>11973</v>
      </c>
      <c r="C210" s="28" t="str">
        <f>"SINDICATO INTERMUNICIPAL DAS INDUSTRIAS DO MOBILIARIO DE UBA"</f>
        <v>SINDICATO INTERMUNICIPAL DAS INDUSTRIAS DO MOBILIARIO DE UBA</v>
      </c>
      <c r="D210" s="19" t="s">
        <v>745</v>
      </c>
      <c r="E210" s="19" t="s">
        <v>46</v>
      </c>
      <c r="F210" s="36">
        <v>150000</v>
      </c>
      <c r="G210" s="37">
        <v>150000</v>
      </c>
      <c r="H210" s="37">
        <v>0</v>
      </c>
    </row>
    <row r="211" spans="2:8" x14ac:dyDescent="0.35">
      <c r="B211" s="39">
        <v>11974</v>
      </c>
      <c r="C211" s="28" t="str">
        <f>"MARCIO FERREIRA E CIA LTDA"</f>
        <v>MARCIO FERREIRA E CIA LTDA</v>
      </c>
      <c r="D211" s="19">
        <v>46083</v>
      </c>
      <c r="E211" s="19">
        <v>46448</v>
      </c>
      <c r="F211" s="36">
        <v>6930</v>
      </c>
      <c r="G211" s="37">
        <v>3042</v>
      </c>
      <c r="H211" s="37">
        <v>3888</v>
      </c>
    </row>
    <row r="212" spans="2:8" x14ac:dyDescent="0.35">
      <c r="B212" s="39">
        <v>11976</v>
      </c>
      <c r="C212" s="28" t="str">
        <f>"CETEST MINAS ENGENHARIA E SERVICOS S A"</f>
        <v>CETEST MINAS ENGENHARIA E SERVICOS S A</v>
      </c>
      <c r="D212" s="19">
        <v>46083</v>
      </c>
      <c r="E212" s="19">
        <v>46089</v>
      </c>
      <c r="F212" s="36">
        <v>1404180.66</v>
      </c>
      <c r="G212" s="37">
        <v>1137656.54</v>
      </c>
      <c r="H212" s="37">
        <v>266524.12</v>
      </c>
    </row>
    <row r="213" spans="2:8" x14ac:dyDescent="0.35">
      <c r="B213" s="39">
        <v>11977</v>
      </c>
      <c r="C213" s="28" t="str">
        <f>"CONSORCIO OTIMO DE BILHETAGEM ELETRONICA"</f>
        <v>CONSORCIO OTIMO DE BILHETAGEM ELETRONICA</v>
      </c>
      <c r="D213" s="19" t="s">
        <v>754</v>
      </c>
      <c r="E213" s="19" t="s">
        <v>755</v>
      </c>
      <c r="F213" s="36">
        <v>1239.32</v>
      </c>
      <c r="G213" s="37">
        <v>575000</v>
      </c>
      <c r="H213" s="37">
        <v>1181.82</v>
      </c>
    </row>
    <row r="214" spans="2:8" x14ac:dyDescent="0.35">
      <c r="B214" s="39">
        <v>11978</v>
      </c>
      <c r="C214" s="28" t="str">
        <f>"FEDERACAO DAS INDUSTRIAS DO ESTADO DE MINAS GERAIS"</f>
        <v>FEDERACAO DAS INDUSTRIAS DO ESTADO DE MINAS GERAIS</v>
      </c>
      <c r="D214" s="19">
        <v>46145</v>
      </c>
      <c r="E214" s="19">
        <v>46849</v>
      </c>
      <c r="F214" s="36">
        <v>39600000</v>
      </c>
      <c r="G214" s="37">
        <v>0</v>
      </c>
      <c r="H214" s="37">
        <v>39600000</v>
      </c>
    </row>
    <row r="215" spans="2:8" x14ac:dyDescent="0.35">
      <c r="B215" s="39">
        <v>11980</v>
      </c>
      <c r="C215" s="28" t="str">
        <f>"ALSB COMERCIO E SERVICOS LTDA"</f>
        <v>ALSB COMERCIO E SERVICOS LTDA</v>
      </c>
      <c r="D215" s="19">
        <v>46298</v>
      </c>
      <c r="E215" s="19">
        <v>46663</v>
      </c>
      <c r="F215" s="36">
        <v>94752</v>
      </c>
      <c r="G215" s="37">
        <v>0</v>
      </c>
      <c r="H215" s="37">
        <v>94752</v>
      </c>
    </row>
    <row r="216" spans="2:8" x14ac:dyDescent="0.35">
      <c r="B216" s="39">
        <v>11981</v>
      </c>
      <c r="C216" s="28" t="str">
        <f>"NECTA INOVA CONTEUDOS ESTRATEGICOS LTDA"</f>
        <v>NECTA INOVA CONTEUDOS ESTRATEGICOS LTDA</v>
      </c>
      <c r="D216" s="19" t="s">
        <v>759</v>
      </c>
      <c r="E216" s="19" t="s">
        <v>760</v>
      </c>
      <c r="F216" s="36">
        <v>265500</v>
      </c>
      <c r="G216" s="37">
        <v>265500</v>
      </c>
      <c r="H216" s="37">
        <v>0</v>
      </c>
    </row>
    <row r="217" spans="2:8" x14ac:dyDescent="0.35">
      <c r="B217" s="39">
        <v>11982</v>
      </c>
      <c r="C217" s="28" t="str">
        <f>"MORDOR INTELLIGENCE PVT LTD"</f>
        <v>MORDOR INTELLIGENCE PVT LTD</v>
      </c>
      <c r="D217" s="19">
        <v>46358</v>
      </c>
      <c r="E217" s="19">
        <v>46723</v>
      </c>
      <c r="F217" s="36">
        <v>57000</v>
      </c>
      <c r="G217" s="37">
        <v>47490.5</v>
      </c>
      <c r="H217" s="37">
        <v>9509.5</v>
      </c>
    </row>
    <row r="218" spans="2:8" x14ac:dyDescent="0.35">
      <c r="B218" s="39">
        <v>11983</v>
      </c>
      <c r="C218" s="28" t="str">
        <f>"FUNDACAO INSTITUTO DE PESQUISAS ECONOMICAS FIPE"</f>
        <v>FUNDACAO INSTITUTO DE PESQUISAS ECONOMICAS FIPE</v>
      </c>
      <c r="D218" s="19">
        <v>46084</v>
      </c>
      <c r="E218" s="19">
        <v>46815</v>
      </c>
      <c r="F218" s="36">
        <v>5215427</v>
      </c>
      <c r="G218" s="37">
        <v>670182.37</v>
      </c>
      <c r="H218" s="37">
        <v>4545244.63</v>
      </c>
    </row>
    <row r="219" spans="2:8" x14ac:dyDescent="0.35">
      <c r="B219" s="39">
        <v>11984</v>
      </c>
      <c r="C219" s="28" t="str">
        <f>"EMPRESA MUNICIPAL DE TURISMO  BELOTUR"</f>
        <v>EMPRESA MUNICIPAL DE TURISMO  BELOTUR</v>
      </c>
      <c r="D219" s="19" t="s">
        <v>767</v>
      </c>
      <c r="E219" s="19" t="s">
        <v>768</v>
      </c>
      <c r="F219" s="36">
        <v>500000</v>
      </c>
      <c r="G219" s="37">
        <v>500000</v>
      </c>
      <c r="H219" s="37">
        <v>0</v>
      </c>
    </row>
    <row r="220" spans="2:8" x14ac:dyDescent="0.35">
      <c r="B220" s="39">
        <v>11985</v>
      </c>
      <c r="C220" s="28" t="str">
        <f>"FUNDACAO INSTITUTO DE PESQUISAS ECONOMICAS FIPE"</f>
        <v>FUNDACAO INSTITUTO DE PESQUISAS ECONOMICAS FIPE</v>
      </c>
      <c r="D220" s="19" t="s">
        <v>770</v>
      </c>
      <c r="E220" s="19" t="s">
        <v>771</v>
      </c>
      <c r="F220" s="36">
        <v>72800</v>
      </c>
      <c r="G220" s="37">
        <v>0</v>
      </c>
      <c r="H220" s="37">
        <v>72800</v>
      </c>
    </row>
    <row r="221" spans="2:8" x14ac:dyDescent="0.35">
      <c r="B221" s="39">
        <v>11987</v>
      </c>
      <c r="C221" s="28" t="str">
        <f>"DORIA ADMINISTRACAO E EVENTOS LTDA"</f>
        <v>DORIA ADMINISTRACAO E EVENTOS LTDA</v>
      </c>
      <c r="D221" s="19">
        <v>46361</v>
      </c>
      <c r="E221" s="19">
        <v>46337</v>
      </c>
      <c r="F221" s="36">
        <v>560000</v>
      </c>
      <c r="G221" s="37">
        <v>0</v>
      </c>
      <c r="H221" s="37">
        <v>560000</v>
      </c>
    </row>
    <row r="222" spans="2:8" x14ac:dyDescent="0.35">
      <c r="B222" s="39">
        <v>11988</v>
      </c>
      <c r="C222" s="28" t="str">
        <f>"SERVICO SOCIAL AUTONOMO"</f>
        <v>SERVICO SOCIAL AUTONOMO</v>
      </c>
      <c r="D222" s="19" t="s">
        <v>774</v>
      </c>
      <c r="E222" s="19" t="s">
        <v>775</v>
      </c>
      <c r="F222" s="36">
        <v>1000000</v>
      </c>
      <c r="G222" s="37">
        <v>1000000</v>
      </c>
      <c r="H222" s="37">
        <v>0</v>
      </c>
    </row>
    <row r="223" spans="2:8" x14ac:dyDescent="0.35">
      <c r="B223" s="39">
        <v>11989</v>
      </c>
      <c r="C223" s="28" t="str">
        <f>"LUMENS ENGENHARIA LTDA"</f>
        <v>LUMENS ENGENHARIA LTDA</v>
      </c>
      <c r="D223" s="19">
        <v>46176</v>
      </c>
      <c r="E223" s="19">
        <v>46390</v>
      </c>
      <c r="F223" s="36">
        <v>1680000</v>
      </c>
      <c r="G223" s="37">
        <v>0</v>
      </c>
      <c r="H223" s="37">
        <v>1680000</v>
      </c>
    </row>
    <row r="224" spans="2:8" x14ac:dyDescent="0.35">
      <c r="B224" s="39">
        <v>11991</v>
      </c>
      <c r="C224" s="28" t="str">
        <f>"ASSOCIACAO  DOS REVENDEDORES DE VEICULOS NO ESTADO DE MINAS  GERAIS"</f>
        <v>ASSOCIACAO  DOS REVENDEDORES DE VEICULOS NO ESTADO DE MINAS  GERAIS</v>
      </c>
      <c r="D224" s="19" t="s">
        <v>778</v>
      </c>
      <c r="E224" s="19" t="s">
        <v>779</v>
      </c>
      <c r="F224" s="36">
        <v>120000</v>
      </c>
      <c r="G224" s="37">
        <v>120000</v>
      </c>
      <c r="H224" s="37">
        <v>0</v>
      </c>
    </row>
    <row r="225" spans="2:8" x14ac:dyDescent="0.35">
      <c r="B225" s="39">
        <v>11992</v>
      </c>
      <c r="C225" s="28" t="str">
        <f>"L3 SOFTWARE LTDA"</f>
        <v>L3 SOFTWARE LTDA</v>
      </c>
      <c r="D225" s="19">
        <v>46329</v>
      </c>
      <c r="E225" s="19">
        <v>46694</v>
      </c>
      <c r="F225" s="36">
        <v>300000</v>
      </c>
      <c r="G225" s="37">
        <v>0</v>
      </c>
      <c r="H225" s="37">
        <v>300000</v>
      </c>
    </row>
    <row r="226" spans="2:8" x14ac:dyDescent="0.35">
      <c r="B226" s="39">
        <v>11993</v>
      </c>
      <c r="C226" s="28" t="str">
        <f>"PEIXE SP ASSOCIACAOO DE PSICULTORES EM AGUAS PAULISTAS E DA UNIAO"</f>
        <v>PEIXE SP ASSOCIACAOO DE PSICULTORES EM AGUAS PAULISTAS E DA UNIAO</v>
      </c>
      <c r="D226" s="19">
        <v>46299</v>
      </c>
      <c r="E226" s="19">
        <v>46368</v>
      </c>
      <c r="F226" s="36">
        <v>100000</v>
      </c>
      <c r="G226" s="37">
        <v>50000</v>
      </c>
      <c r="H226" s="37">
        <v>50000</v>
      </c>
    </row>
    <row r="227" spans="2:8" x14ac:dyDescent="0.35">
      <c r="B227" s="39">
        <v>11994</v>
      </c>
      <c r="C227" s="28" t="str">
        <f>"CONSORCIO OPERACIONAL DO SISTEMA BILHETAGEM"</f>
        <v>CONSORCIO OPERACIONAL DO SISTEMA BILHETAGEM</v>
      </c>
      <c r="D227" s="19" t="s">
        <v>754</v>
      </c>
      <c r="E227" s="19" t="s">
        <v>31</v>
      </c>
      <c r="F227" s="36">
        <v>5831200</v>
      </c>
      <c r="G227" s="37">
        <v>1936600</v>
      </c>
      <c r="H227" s="37">
        <v>3894600</v>
      </c>
    </row>
    <row r="228" spans="2:8" x14ac:dyDescent="0.35">
      <c r="B228" s="39">
        <v>11996</v>
      </c>
      <c r="C228" s="28" t="str">
        <f>"L3 SOFTWARE LTDA"</f>
        <v>L3 SOFTWARE LTDA</v>
      </c>
      <c r="D228" s="19" t="s">
        <v>782</v>
      </c>
      <c r="E228" s="19" t="s">
        <v>783</v>
      </c>
      <c r="F228" s="36">
        <v>300000</v>
      </c>
      <c r="G228" s="37">
        <v>225000</v>
      </c>
      <c r="H228" s="37">
        <v>75000</v>
      </c>
    </row>
    <row r="229" spans="2:8" x14ac:dyDescent="0.35">
      <c r="B229" s="39">
        <v>11997</v>
      </c>
      <c r="C229" s="28" t="str">
        <f>"RADIO ITATIAIA  SA"</f>
        <v>RADIO ITATIAIA  SA</v>
      </c>
      <c r="D229" s="19" t="s">
        <v>786</v>
      </c>
      <c r="E229" s="19" t="s">
        <v>787</v>
      </c>
      <c r="F229" s="36">
        <v>350000</v>
      </c>
      <c r="G229" s="37">
        <v>334227.53000000003</v>
      </c>
      <c r="H229" s="37">
        <v>15772.47</v>
      </c>
    </row>
    <row r="230" spans="2:8" x14ac:dyDescent="0.35">
      <c r="B230" s="39">
        <v>11998</v>
      </c>
      <c r="C230" s="28" t="str">
        <f>"IMAGEM GEOSISTEMAS  E  COMERCIO LTDA"</f>
        <v>IMAGEM GEOSISTEMAS  E  COMERCIO LTDA</v>
      </c>
      <c r="D230" s="19">
        <v>46177</v>
      </c>
      <c r="E230" s="19" t="s">
        <v>789</v>
      </c>
      <c r="F230" s="36">
        <v>123329.63</v>
      </c>
      <c r="G230" s="37">
        <v>123329.63</v>
      </c>
      <c r="H230" s="37">
        <v>0</v>
      </c>
    </row>
    <row r="231" spans="2:8" x14ac:dyDescent="0.35">
      <c r="B231" s="39">
        <v>11999</v>
      </c>
      <c r="C231" s="28" t="str">
        <f>"PLX ASSET LTDA"</f>
        <v>PLX ASSET LTDA</v>
      </c>
      <c r="D231" s="19" t="s">
        <v>793</v>
      </c>
      <c r="E231" s="19" t="s">
        <v>154</v>
      </c>
      <c r="F231" s="36">
        <v>160000</v>
      </c>
      <c r="G231" s="37">
        <v>107430.48</v>
      </c>
      <c r="H231" s="37">
        <v>52569.52</v>
      </c>
    </row>
    <row r="232" spans="2:8" x14ac:dyDescent="0.35">
      <c r="B232" s="39">
        <v>12000</v>
      </c>
      <c r="C232" s="28" t="str">
        <f>"MALINOVSKI FEIRAS E EVENTOS LTDA"</f>
        <v>MALINOVSKI FEIRAS E EVENTOS LTDA</v>
      </c>
      <c r="D232" s="19" t="s">
        <v>795</v>
      </c>
      <c r="E232" s="19" t="s">
        <v>343</v>
      </c>
      <c r="F232" s="36">
        <v>400000</v>
      </c>
      <c r="G232" s="37">
        <v>400000</v>
      </c>
      <c r="H232" s="37">
        <v>0</v>
      </c>
    </row>
    <row r="233" spans="2:8" x14ac:dyDescent="0.35">
      <c r="B233" s="39">
        <v>12001</v>
      </c>
      <c r="C233" s="28" t="str">
        <f>"SOUZA CESCON BARRIEU  FLESCH SOCIEDADE DE ADVOGADOS"</f>
        <v>SOUZA CESCON BARRIEU  FLESCH SOCIEDADE DE ADVOGADOS</v>
      </c>
      <c r="D233" s="19" t="s">
        <v>799</v>
      </c>
      <c r="E233" s="19" t="s">
        <v>800</v>
      </c>
      <c r="F233" s="36">
        <v>510000</v>
      </c>
      <c r="G233" s="37">
        <v>111039.48</v>
      </c>
      <c r="H233" s="37">
        <v>398960.52</v>
      </c>
    </row>
    <row r="234" spans="2:8" x14ac:dyDescent="0.35">
      <c r="B234" s="39">
        <v>12002</v>
      </c>
      <c r="C234" s="28" t="str">
        <f>"ASSOCIACAO CENTRAL DOS FRUTICULTORES DO NORTE DE MINAS  ABANORTE"</f>
        <v>ASSOCIACAO CENTRAL DOS FRUTICULTORES DO NORTE DE MINAS  ABANORTE</v>
      </c>
      <c r="D234" s="19" t="s">
        <v>802</v>
      </c>
      <c r="E234" s="19" t="s">
        <v>428</v>
      </c>
      <c r="F234" s="36">
        <v>200000</v>
      </c>
      <c r="G234" s="37">
        <v>199827.6</v>
      </c>
      <c r="H234" s="37">
        <v>1724000</v>
      </c>
    </row>
    <row r="235" spans="2:8" x14ac:dyDescent="0.35">
      <c r="B235" s="39">
        <v>12006</v>
      </c>
      <c r="C235" s="28" t="str">
        <f>"COMERCIAL ML DE PECAS LTDA"</f>
        <v>COMERCIAL ML DE PECAS LTDA</v>
      </c>
      <c r="D235" s="19">
        <v>46117</v>
      </c>
      <c r="E235" s="19">
        <v>46482</v>
      </c>
      <c r="F235" s="36">
        <v>177612.7</v>
      </c>
      <c r="G235" s="37">
        <v>40359.910000000003</v>
      </c>
      <c r="H235" s="37">
        <v>137252.79</v>
      </c>
    </row>
    <row r="236" spans="2:8" x14ac:dyDescent="0.35">
      <c r="B236" s="39">
        <v>12007</v>
      </c>
      <c r="C236" s="28" t="str">
        <f>"DISTRIBUIDORA DE AGUAS MINERAIS BH LTDA"</f>
        <v>DISTRIBUIDORA DE AGUAS MINERAIS BH LTDA</v>
      </c>
      <c r="D236" s="19" t="s">
        <v>809</v>
      </c>
      <c r="E236" s="19" t="s">
        <v>810</v>
      </c>
      <c r="F236" s="36">
        <v>8233.92</v>
      </c>
      <c r="G236" s="37">
        <v>2058.48</v>
      </c>
      <c r="H236" s="37">
        <v>6175.44</v>
      </c>
    </row>
    <row r="237" spans="2:8" x14ac:dyDescent="0.35">
      <c r="B237" s="39">
        <v>12008</v>
      </c>
      <c r="C237" s="28" t="str">
        <f>"MG BLOCK EQUIPAMENTOS LTDA"</f>
        <v>MG BLOCK EQUIPAMENTOS LTDA</v>
      </c>
      <c r="D237" s="19">
        <v>46208</v>
      </c>
      <c r="E237" s="19">
        <v>46544</v>
      </c>
      <c r="F237" s="36">
        <v>13800</v>
      </c>
      <c r="G237" s="37">
        <v>4050</v>
      </c>
      <c r="H237" s="37">
        <v>9750</v>
      </c>
    </row>
    <row r="238" spans="2:8" x14ac:dyDescent="0.35">
      <c r="B238" s="39">
        <v>12009</v>
      </c>
      <c r="C238" s="28" t="str">
        <f>"FUNDACAO EDUCACIONAL E CULTURAL DO SUDOESTE MINEIRO"</f>
        <v>FUNDACAO EDUCACIONAL E CULTURAL DO SUDOESTE MINEIRO</v>
      </c>
      <c r="D238" s="19" t="s">
        <v>809</v>
      </c>
      <c r="E238" s="19" t="s">
        <v>814</v>
      </c>
      <c r="F238" s="36">
        <v>350000</v>
      </c>
      <c r="G238" s="37">
        <v>175000</v>
      </c>
      <c r="H238" s="37">
        <v>175000</v>
      </c>
    </row>
    <row r="239" spans="2:8" x14ac:dyDescent="0.35">
      <c r="B239" s="39">
        <v>12010</v>
      </c>
      <c r="C239" s="28" t="str">
        <f>"PROFI COMERCIO DE ALIMENTOS LTDA"</f>
        <v>PROFI COMERCIO DE ALIMENTOS LTDA</v>
      </c>
      <c r="D239" s="19">
        <v>46178</v>
      </c>
      <c r="E239" s="19">
        <v>46512</v>
      </c>
      <c r="F239" s="36">
        <v>18135.599999999999</v>
      </c>
      <c r="G239" s="37">
        <v>1079.5</v>
      </c>
      <c r="H239" s="37">
        <v>17056.099999999999</v>
      </c>
    </row>
    <row r="240" spans="2:8" x14ac:dyDescent="0.35">
      <c r="B240" s="39">
        <v>12011</v>
      </c>
      <c r="C240" s="28" t="str">
        <f>"PRODEMGE  CIA DE TECNOL DA INFORMACAO DE MG"</f>
        <v>PRODEMGE  CIA DE TECNOL DA INFORMACAO DE MG</v>
      </c>
      <c r="D240" s="19" t="s">
        <v>819</v>
      </c>
      <c r="E240" s="19" t="s">
        <v>820</v>
      </c>
      <c r="F240" s="36">
        <v>315942</v>
      </c>
      <c r="G240" s="37">
        <v>0</v>
      </c>
      <c r="H240" s="37">
        <v>315942</v>
      </c>
    </row>
    <row r="241" spans="2:8" x14ac:dyDescent="0.35">
      <c r="B241" s="39">
        <v>12012</v>
      </c>
      <c r="C241" s="28" t="str">
        <f>"ASSOCIACAO MINEIRA DE MUNICIPIOS"</f>
        <v>ASSOCIACAO MINEIRA DE MUNICIPIOS</v>
      </c>
      <c r="D241" s="19">
        <v>46147</v>
      </c>
      <c r="E241" s="19">
        <v>46478</v>
      </c>
      <c r="F241" s="36">
        <v>1000000</v>
      </c>
      <c r="G241" s="37">
        <v>1000000</v>
      </c>
      <c r="H241" s="37">
        <v>0</v>
      </c>
    </row>
    <row r="242" spans="2:8" x14ac:dyDescent="0.35">
      <c r="B242" s="39">
        <v>12013</v>
      </c>
      <c r="C242" s="28" t="str">
        <f>"LACERDA DINIZ SENA ADVOGADOS"</f>
        <v>LACERDA DINIZ SENA ADVOGADOS</v>
      </c>
      <c r="D242" s="19">
        <v>46239</v>
      </c>
      <c r="E242" s="19">
        <v>46573</v>
      </c>
      <c r="F242" s="36">
        <v>150000</v>
      </c>
      <c r="G242" s="37">
        <v>25000</v>
      </c>
      <c r="H242" s="37">
        <v>125000</v>
      </c>
    </row>
    <row r="243" spans="2:8" x14ac:dyDescent="0.35">
      <c r="B243" s="39">
        <v>12015</v>
      </c>
      <c r="C243" s="28" t="str">
        <f>"SETTE TURISMO PROMOCOES E EVENTOS LTDA"</f>
        <v>SETTE TURISMO PROMOCOES E EVENTOS LTDA</v>
      </c>
      <c r="D243" s="19" t="s">
        <v>823</v>
      </c>
      <c r="E243" s="19" t="s">
        <v>824</v>
      </c>
      <c r="F243" s="36">
        <v>200000</v>
      </c>
      <c r="G243" s="37">
        <v>200000</v>
      </c>
      <c r="H243" s="37">
        <v>0</v>
      </c>
    </row>
    <row r="244" spans="2:8" x14ac:dyDescent="0.35">
      <c r="B244" s="39">
        <v>12016</v>
      </c>
      <c r="C244" s="28" t="str">
        <f>"FEDERACAO DA AGRICULTURA E PECUARIA DO ESTADO DE MINAS GERAIS"</f>
        <v>FEDERACAO DA AGRICULTURA E PECUARIA DO ESTADO DE MINAS GERAIS</v>
      </c>
      <c r="D244" s="19" t="s">
        <v>825</v>
      </c>
      <c r="E244" s="19">
        <v>46185</v>
      </c>
      <c r="F244" s="36">
        <v>300000</v>
      </c>
      <c r="G244" s="37">
        <v>0</v>
      </c>
      <c r="H244" s="37">
        <v>300000</v>
      </c>
    </row>
    <row r="245" spans="2:8" x14ac:dyDescent="0.35">
      <c r="B245" s="39">
        <v>12017</v>
      </c>
      <c r="C245" s="28" t="str">
        <f>"ACT COMUNICACAO EMPRESARIAL LTDA"</f>
        <v>ACT COMUNICACAO EMPRESARIAL LTDA</v>
      </c>
      <c r="D245" s="19" t="s">
        <v>819</v>
      </c>
      <c r="E245" s="19" t="s">
        <v>829</v>
      </c>
      <c r="F245" s="36">
        <v>68000</v>
      </c>
      <c r="G245" s="37">
        <v>46500</v>
      </c>
      <c r="H245" s="37">
        <v>21500</v>
      </c>
    </row>
    <row r="246" spans="2:8" x14ac:dyDescent="0.35">
      <c r="B246" s="39">
        <v>12018</v>
      </c>
      <c r="C246" s="28" t="str">
        <f>"SEMPRE EDITORA LTDA"</f>
        <v>SEMPRE EDITORA LTDA</v>
      </c>
      <c r="D246" s="19">
        <v>46361</v>
      </c>
      <c r="E246" s="19">
        <v>46722</v>
      </c>
      <c r="F246" s="36">
        <v>75000</v>
      </c>
      <c r="G246" s="37">
        <v>0</v>
      </c>
      <c r="H246" s="37">
        <v>75000</v>
      </c>
    </row>
    <row r="247" spans="2:8" x14ac:dyDescent="0.35">
      <c r="B247" s="39">
        <v>12019</v>
      </c>
      <c r="C247" s="28" t="str">
        <f>"ASSOCIACAO DOS FORNECEDORES DE CANA DA REGIAO DE CAMPO FLORIDO"</f>
        <v>ASSOCIACAO DOS FORNECEDORES DE CANA DA REGIAO DE CAMPO FLORIDO</v>
      </c>
      <c r="D247" s="19" t="s">
        <v>825</v>
      </c>
      <c r="E247" s="19" t="s">
        <v>831</v>
      </c>
      <c r="F247" s="36">
        <v>650000</v>
      </c>
      <c r="G247" s="37">
        <v>0</v>
      </c>
      <c r="H247" s="37">
        <v>650000</v>
      </c>
    </row>
    <row r="248" spans="2:8" x14ac:dyDescent="0.35">
      <c r="B248" s="39">
        <v>12020</v>
      </c>
      <c r="C248" s="28" t="str">
        <f>"INSTITUTO RUI BARBOSA"</f>
        <v>INSTITUTO RUI BARBOSA</v>
      </c>
      <c r="D248" s="19" t="s">
        <v>825</v>
      </c>
      <c r="E248" s="19" t="s">
        <v>833</v>
      </c>
      <c r="F248" s="36">
        <v>180000</v>
      </c>
      <c r="G248" s="37">
        <v>0</v>
      </c>
      <c r="H248" s="37">
        <v>180000</v>
      </c>
    </row>
    <row r="249" spans="2:8" x14ac:dyDescent="0.35">
      <c r="B249" s="39">
        <v>12022</v>
      </c>
      <c r="C249" s="28" t="str">
        <f>"COOPERATIVA DOS CAFEICULTORES DO CERRADO DE ARAGUARI E REGIAO LTDA"</f>
        <v>COOPERATIVA DOS CAFEICULTORES DO CERRADO DE ARAGUARI E REGIAO LTDA</v>
      </c>
      <c r="D249" s="19">
        <v>46028</v>
      </c>
      <c r="E249" s="19">
        <v>46034</v>
      </c>
      <c r="F249" s="36">
        <v>200000</v>
      </c>
      <c r="G249" s="37">
        <v>0</v>
      </c>
      <c r="H249" s="37">
        <v>200000</v>
      </c>
    </row>
    <row r="250" spans="2:8" x14ac:dyDescent="0.35">
      <c r="B250" s="39">
        <v>12023</v>
      </c>
      <c r="C250" s="28" t="str">
        <f>"ASSOCIACAO BRASILEIRA DOS CRIADORES DE GIROLANDO"</f>
        <v>ASSOCIACAO BRASILEIRA DOS CRIADORES DE GIROLANDO</v>
      </c>
      <c r="D250" s="19">
        <v>46087</v>
      </c>
      <c r="E250" s="19">
        <v>46185</v>
      </c>
      <c r="F250" s="36">
        <v>900000</v>
      </c>
      <c r="G250" s="37">
        <v>0</v>
      </c>
      <c r="H250" s="37">
        <v>900000</v>
      </c>
    </row>
    <row r="251" spans="2:8" x14ac:dyDescent="0.35">
      <c r="B251" s="39">
        <v>12024</v>
      </c>
      <c r="C251" s="28" t="str">
        <f>"SEMPRE EDITORA LTDA"</f>
        <v>SEMPRE EDITORA LTDA</v>
      </c>
      <c r="D251" s="19">
        <v>46240</v>
      </c>
      <c r="E251" s="19">
        <v>46368</v>
      </c>
      <c r="F251" s="36">
        <v>75000</v>
      </c>
      <c r="G251" s="37">
        <v>0</v>
      </c>
      <c r="H251" s="37">
        <v>75000</v>
      </c>
    </row>
    <row r="252" spans="2:8" x14ac:dyDescent="0.35">
      <c r="B252" s="39">
        <v>12025</v>
      </c>
      <c r="C252" s="28" t="str">
        <f>"PLANILHAR TREINAMENTO E CONSULTORIA EM LICITACOES LTDA"</f>
        <v>PLANILHAR TREINAMENTO E CONSULTORIA EM LICITACOES LTDA</v>
      </c>
      <c r="D252" s="19">
        <v>46271</v>
      </c>
      <c r="E252" s="19">
        <v>46605</v>
      </c>
      <c r="F252" s="36">
        <v>125000</v>
      </c>
      <c r="G252" s="37">
        <v>0</v>
      </c>
      <c r="H252" s="37">
        <v>125000</v>
      </c>
    </row>
    <row r="253" spans="2:8" x14ac:dyDescent="0.35">
      <c r="B253" s="39">
        <v>12026</v>
      </c>
      <c r="C253" s="28" t="str">
        <f>"HPL PRODUCOES EVENTOS EIRELI"</f>
        <v>HPL PRODUCOES EVENTOS EIRELI</v>
      </c>
      <c r="D253" s="19">
        <v>46087</v>
      </c>
      <c r="E253" s="19" t="s">
        <v>835</v>
      </c>
      <c r="F253" s="36">
        <v>100000</v>
      </c>
      <c r="G253" s="37">
        <v>100000</v>
      </c>
      <c r="H253" s="37">
        <v>0</v>
      </c>
    </row>
    <row r="254" spans="2:8" x14ac:dyDescent="0.35">
      <c r="B254" s="39">
        <v>12027</v>
      </c>
      <c r="C254" s="28" t="str">
        <f>"ECOLOGICO COMUNICACAO EM MEIO AMBIENTE LTDA"</f>
        <v>ECOLOGICO COMUNICACAO EM MEIO AMBIENTE LTDA</v>
      </c>
      <c r="D254" s="19">
        <v>46240</v>
      </c>
      <c r="E254" s="19">
        <v>46246</v>
      </c>
      <c r="F254" s="36">
        <v>35000</v>
      </c>
      <c r="G254" s="37">
        <v>0</v>
      </c>
      <c r="H254" s="37">
        <v>35000</v>
      </c>
    </row>
    <row r="255" spans="2:8" x14ac:dyDescent="0.35">
      <c r="B255" s="39">
        <v>12028</v>
      </c>
      <c r="C255" s="28" t="str">
        <f>"MINEIRA DIGITAL  E EVENTOS  LTDA"</f>
        <v>MINEIRA DIGITAL  E EVENTOS  LTDA</v>
      </c>
      <c r="D255" s="19">
        <v>46301</v>
      </c>
      <c r="E255" s="19" t="s">
        <v>301</v>
      </c>
      <c r="F255" s="36">
        <v>100000</v>
      </c>
      <c r="G255" s="37">
        <v>100000</v>
      </c>
      <c r="H255" s="37">
        <v>0</v>
      </c>
    </row>
    <row r="256" spans="2:8" x14ac:dyDescent="0.35">
      <c r="B256" s="39">
        <v>12029</v>
      </c>
      <c r="C256" s="28" t="str">
        <f>"FUNDO DE APOIO A ESTRUTURACAO FEP CAIXA"</f>
        <v>FUNDO DE APOIO A ESTRUTURACAO FEP CAIXA</v>
      </c>
      <c r="D256" s="19" t="s">
        <v>840</v>
      </c>
      <c r="E256" s="19" t="s">
        <v>841</v>
      </c>
      <c r="F256" s="36">
        <v>24139245.440000001</v>
      </c>
      <c r="G256" s="37">
        <v>362656.94</v>
      </c>
      <c r="H256" s="37">
        <v>23776588.5</v>
      </c>
    </row>
    <row r="257" spans="2:8" ht="29" x14ac:dyDescent="0.35">
      <c r="B257" s="39">
        <v>12030</v>
      </c>
      <c r="C257" s="28" t="str">
        <f>"FEDERACAO DAS CAMARAS DOS DIRIGENTES LOGISTAS DO ESTADO DE MINAS GERAIS"</f>
        <v>FEDERACAO DAS CAMARAS DOS DIRIGENTES LOGISTAS DO ESTADO DE MINAS GERAIS</v>
      </c>
      <c r="D257" s="19">
        <v>46271</v>
      </c>
      <c r="E257" s="19" t="s">
        <v>842</v>
      </c>
      <c r="F257" s="36">
        <v>50000</v>
      </c>
      <c r="G257" s="37">
        <v>50000</v>
      </c>
      <c r="H257" s="37">
        <v>0</v>
      </c>
    </row>
    <row r="258" spans="2:8" x14ac:dyDescent="0.35">
      <c r="B258" s="39">
        <v>12031</v>
      </c>
      <c r="C258" s="28" t="str">
        <f>"ASSOCIACAO DOS CONDOMINIOS DE LAGOA SANTA"</f>
        <v>ASSOCIACAO DOS CONDOMINIOS DE LAGOA SANTA</v>
      </c>
      <c r="D258" s="19">
        <v>46301</v>
      </c>
      <c r="E258" s="19" t="s">
        <v>301</v>
      </c>
      <c r="F258" s="36">
        <v>50000</v>
      </c>
      <c r="G258" s="37">
        <v>50000</v>
      </c>
      <c r="H258" s="37">
        <v>0</v>
      </c>
    </row>
    <row r="259" spans="2:8" x14ac:dyDescent="0.35">
      <c r="B259" s="39">
        <v>12032</v>
      </c>
      <c r="C259" s="28" t="str">
        <f>"ASSOCIACAO PROCULTURA E PROMOCAO DAS ARTES"</f>
        <v>ASSOCIACAO PROCULTURA E PROMOCAO DAS ARTES</v>
      </c>
      <c r="D259" s="19" t="s">
        <v>844</v>
      </c>
      <c r="E259" s="19" t="s">
        <v>845</v>
      </c>
      <c r="F259" s="36">
        <v>96000</v>
      </c>
      <c r="G259" s="37">
        <v>0</v>
      </c>
      <c r="H259" s="37">
        <v>96000</v>
      </c>
    </row>
    <row r="260" spans="2:8" x14ac:dyDescent="0.35">
      <c r="B260" s="39">
        <v>12034</v>
      </c>
      <c r="C260" s="28" t="str">
        <f>"INSTITUTO DE FORMACAO DE LIDERES DE BHTE"</f>
        <v>INSTITUTO DE FORMACAO DE LIDERES DE BHTE</v>
      </c>
      <c r="D260" s="19" t="s">
        <v>844</v>
      </c>
      <c r="E260" s="19" t="s">
        <v>736</v>
      </c>
      <c r="F260" s="36">
        <v>120000</v>
      </c>
      <c r="G260" s="37">
        <v>0</v>
      </c>
      <c r="H260" s="37">
        <v>120000</v>
      </c>
    </row>
    <row r="261" spans="2:8" x14ac:dyDescent="0.35">
      <c r="B261" s="39">
        <v>12036</v>
      </c>
      <c r="C261" s="28" t="str">
        <f>"VILA BRASIL TURISMO EVENTOS E BUFFET LTDA"</f>
        <v>VILA BRASIL TURISMO EVENTOS E BUFFET LTDA</v>
      </c>
      <c r="D261" s="19" t="s">
        <v>847</v>
      </c>
      <c r="E261" s="19" t="s">
        <v>736</v>
      </c>
      <c r="F261" s="37">
        <v>80000</v>
      </c>
      <c r="G261" s="37">
        <v>0</v>
      </c>
      <c r="H261" s="37">
        <v>80000</v>
      </c>
    </row>
    <row r="262" spans="2:8" x14ac:dyDescent="0.35">
      <c r="B262" s="39">
        <v>12037</v>
      </c>
      <c r="C262" s="28" t="str">
        <f>"ASSOCIACAO DE MUSICOS E ARTISTAS DE SAO THOME DAS LETRAS"</f>
        <v>ASSOCIACAO DE MUSICOS E ARTISTAS DE SAO THOME DAS LETRAS</v>
      </c>
      <c r="D262" s="19" t="s">
        <v>844</v>
      </c>
      <c r="E262" s="19" t="s">
        <v>466</v>
      </c>
      <c r="F262" s="36">
        <v>100000</v>
      </c>
      <c r="G262" s="37">
        <v>78570</v>
      </c>
      <c r="H262" s="37">
        <v>21430</v>
      </c>
    </row>
    <row r="263" spans="2:8" x14ac:dyDescent="0.35">
      <c r="B263" s="39">
        <v>12038</v>
      </c>
      <c r="C263" s="28" t="str">
        <f>"SOCIEDADE RURAL DE MONTES CLAROS"</f>
        <v>SOCIEDADE RURAL DE MONTES CLAROS</v>
      </c>
      <c r="D263" s="19" t="s">
        <v>850</v>
      </c>
      <c r="E263" s="19">
        <v>46508</v>
      </c>
      <c r="F263" s="36">
        <v>100000</v>
      </c>
      <c r="G263" s="37">
        <v>0</v>
      </c>
      <c r="H263" s="37">
        <v>100000</v>
      </c>
    </row>
    <row r="264" spans="2:8" x14ac:dyDescent="0.35">
      <c r="B264" s="39">
        <v>12039</v>
      </c>
      <c r="C264" s="28" t="str">
        <f>"SAD CONSULTORIA LTDA"</f>
        <v>SAD CONSULTORIA LTDA</v>
      </c>
      <c r="D264" s="19" t="s">
        <v>854</v>
      </c>
      <c r="E264" s="19" t="s">
        <v>855</v>
      </c>
      <c r="F264" s="36">
        <v>170700</v>
      </c>
      <c r="G264" s="37">
        <v>56900</v>
      </c>
      <c r="H264" s="37">
        <v>113800</v>
      </c>
    </row>
    <row r="265" spans="2:8" x14ac:dyDescent="0.35">
      <c r="B265" s="39">
        <v>12040</v>
      </c>
      <c r="C265" s="28" t="str">
        <f>"IOB INFORMACOES OBJ E PUBLIC JURID LTDA"</f>
        <v>IOB INFORMACOES OBJ E PUBLIC JURID LTDA</v>
      </c>
      <c r="D265" s="19">
        <v>46210</v>
      </c>
      <c r="E265" s="19">
        <v>46575</v>
      </c>
      <c r="F265" s="36">
        <v>14760</v>
      </c>
      <c r="G265" s="37">
        <v>14760</v>
      </c>
      <c r="H265" s="37">
        <v>0</v>
      </c>
    </row>
    <row r="266" spans="2:8" x14ac:dyDescent="0.35">
      <c r="B266" s="39">
        <v>12042</v>
      </c>
      <c r="C266" s="28" t="str">
        <f>"UNIVERSIDADE FEDERAL DE SAO JOAO DEL REI"</f>
        <v>UNIVERSIDADE FEDERAL DE SAO JOAO DEL REI</v>
      </c>
      <c r="D266" s="19" t="s">
        <v>858</v>
      </c>
      <c r="E266" s="19" t="s">
        <v>859</v>
      </c>
      <c r="F266" s="37">
        <v>54138000</v>
      </c>
      <c r="G266" s="37">
        <v>0</v>
      </c>
      <c r="H266" s="37">
        <v>54138000</v>
      </c>
    </row>
    <row r="267" spans="2:8" x14ac:dyDescent="0.35">
      <c r="B267" s="39">
        <v>12043</v>
      </c>
      <c r="C267" s="28" t="str">
        <f>"MUNICIPIO DE HELIODORA"</f>
        <v>MUNICIPIO DE HELIODORA</v>
      </c>
      <c r="D267" s="19" t="s">
        <v>860</v>
      </c>
      <c r="E267" s="19" t="s">
        <v>308</v>
      </c>
      <c r="F267" s="37">
        <v>80000</v>
      </c>
      <c r="G267" s="37">
        <v>80000</v>
      </c>
      <c r="H267" s="37">
        <v>0</v>
      </c>
    </row>
    <row r="268" spans="2:8" x14ac:dyDescent="0.35">
      <c r="B268" s="39">
        <v>12046</v>
      </c>
      <c r="C268" s="28" t="str">
        <f>"PREFEITURA MUNICIPAL DE JUIZ DE FORA"</f>
        <v>PREFEITURA MUNICIPAL DE JUIZ DE FORA</v>
      </c>
      <c r="D268" s="19" t="s">
        <v>860</v>
      </c>
      <c r="E268" s="19" t="s">
        <v>553</v>
      </c>
      <c r="F268" s="36">
        <v>14000000</v>
      </c>
      <c r="G268" s="37">
        <v>850000</v>
      </c>
      <c r="H268" s="37">
        <v>13150000</v>
      </c>
    </row>
    <row r="269" spans="2:8" x14ac:dyDescent="0.35">
      <c r="B269" s="39">
        <v>12047</v>
      </c>
      <c r="C269" s="28" t="str">
        <f>"COOPERATIVA DE RADIO COMUNICACAO DE  BELO  HORIZONTE"</f>
        <v>COOPERATIVA DE RADIO COMUNICACAO DE  BELO  HORIZONTE</v>
      </c>
      <c r="D269" s="19">
        <v>46088</v>
      </c>
      <c r="E269" s="19">
        <v>47886</v>
      </c>
      <c r="F269" s="36">
        <v>271454.32</v>
      </c>
      <c r="G269" s="37">
        <v>0</v>
      </c>
      <c r="H269" s="37">
        <v>271454.32</v>
      </c>
    </row>
    <row r="270" spans="2:8" x14ac:dyDescent="0.35">
      <c r="B270" s="39">
        <v>12048</v>
      </c>
      <c r="C270" s="28" t="str">
        <f>"E AUDITORIA SOFTWARES COMO SERVICO LTDA"</f>
        <v>E AUDITORIA SOFTWARES COMO SERVICO LTDA</v>
      </c>
      <c r="D270" s="19" t="s">
        <v>860</v>
      </c>
      <c r="E270" s="19" t="s">
        <v>865</v>
      </c>
      <c r="F270" s="36">
        <v>11880</v>
      </c>
      <c r="G270" s="37">
        <v>11880</v>
      </c>
      <c r="H270" s="37">
        <v>0</v>
      </c>
    </row>
    <row r="271" spans="2:8" x14ac:dyDescent="0.35">
      <c r="B271" s="39">
        <v>12049</v>
      </c>
      <c r="C271" s="28" t="str">
        <f>"RICCI DIARIOS PUBLICIDADE E AGENCIAMENTO"</f>
        <v>RICCI DIARIOS PUBLICIDADE E AGENCIAMENTO</v>
      </c>
      <c r="D271" s="19" t="s">
        <v>860</v>
      </c>
      <c r="E271" s="19" t="s">
        <v>869</v>
      </c>
      <c r="F271" s="36">
        <v>3070100</v>
      </c>
      <c r="G271" s="37">
        <v>15840</v>
      </c>
      <c r="H271" s="37">
        <v>3054260</v>
      </c>
    </row>
    <row r="272" spans="2:8" x14ac:dyDescent="0.35">
      <c r="B272" s="39">
        <v>12050</v>
      </c>
      <c r="C272" s="28" t="str">
        <f>"SINDICATO DOS PRODUTORES RURAIS DE PIMENTA"</f>
        <v>SINDICATO DOS PRODUTORES RURAIS DE PIMENTA</v>
      </c>
      <c r="D272" s="19">
        <v>46029</v>
      </c>
      <c r="E272" s="19">
        <v>46421</v>
      </c>
      <c r="F272" s="37">
        <v>50000</v>
      </c>
      <c r="G272" s="37">
        <v>50000</v>
      </c>
      <c r="H272" s="37">
        <v>0</v>
      </c>
    </row>
    <row r="273" spans="2:8" x14ac:dyDescent="0.35">
      <c r="B273" s="39">
        <v>12053</v>
      </c>
      <c r="C273" s="28" t="str">
        <f>"AGENCIA DE INTEGRACAO EMPRESA ESCOLA LTDA"</f>
        <v>AGENCIA DE INTEGRACAO EMPRESA ESCOLA LTDA</v>
      </c>
      <c r="D273" s="19">
        <v>46180</v>
      </c>
      <c r="E273" s="19" t="s">
        <v>871</v>
      </c>
      <c r="F273" s="37">
        <v>52080</v>
      </c>
      <c r="G273" s="37">
        <v>0</v>
      </c>
      <c r="H273" s="37">
        <v>52080</v>
      </c>
    </row>
    <row r="274" spans="2:8" x14ac:dyDescent="0.35">
      <c r="B274" s="39">
        <v>12054</v>
      </c>
      <c r="C274" s="28" t="str">
        <f>"UNIAO CONSULTORIA EXECUCAO DE PROJETOS DE GESTAO SS"</f>
        <v>UNIAO CONSULTORIA EXECUCAO DE PROJETOS DE GESTAO SS</v>
      </c>
      <c r="D274" s="19">
        <v>46272</v>
      </c>
      <c r="E274" s="19">
        <v>46601</v>
      </c>
      <c r="F274" s="37">
        <v>270500</v>
      </c>
      <c r="G274" s="37">
        <v>0</v>
      </c>
      <c r="H274" s="37">
        <v>270500</v>
      </c>
    </row>
    <row r="275" spans="2:8" x14ac:dyDescent="0.35">
      <c r="B275" s="39">
        <v>12055</v>
      </c>
      <c r="C275" s="28" t="str">
        <f>"INSTITUTO BRASILEIRO DE GOVERNANCA CORPORATIVA"</f>
        <v>INSTITUTO BRASILEIRO DE GOVERNANCA CORPORATIVA</v>
      </c>
      <c r="D275" s="19" t="s">
        <v>873</v>
      </c>
      <c r="E275" s="19" t="s">
        <v>874</v>
      </c>
      <c r="F275" s="37">
        <v>56900</v>
      </c>
      <c r="G275" s="37">
        <v>0</v>
      </c>
      <c r="H275" s="37">
        <v>56900</v>
      </c>
    </row>
    <row r="276" spans="2:8" x14ac:dyDescent="0.35">
      <c r="B276" s="39">
        <v>12056</v>
      </c>
      <c r="C276" s="28" t="str">
        <f>"TECNETWORKING SERVICOS E SOLUCOES EM TI LTDA"</f>
        <v>TECNETWORKING SERVICOS E SOLUCOES EM TI LTDA</v>
      </c>
      <c r="D276" s="19" t="s">
        <v>876</v>
      </c>
      <c r="E276" s="19" t="s">
        <v>877</v>
      </c>
      <c r="F276" s="37">
        <v>518525</v>
      </c>
      <c r="G276" s="37">
        <v>0</v>
      </c>
      <c r="H276" s="37">
        <v>518525</v>
      </c>
    </row>
    <row r="277" spans="2:8" x14ac:dyDescent="0.35">
      <c r="B277" s="39">
        <v>12058</v>
      </c>
      <c r="C277" s="28" t="str">
        <f>"DEALLINK SERVICOS DE APOIO ADMINISTRATIVO LTDA"</f>
        <v>DEALLINK SERVICOS DE APOIO ADMINISTRATIVO LTDA</v>
      </c>
      <c r="D277" s="19" t="s">
        <v>873</v>
      </c>
      <c r="E277" s="19" t="s">
        <v>879</v>
      </c>
      <c r="F277" s="37">
        <v>170000</v>
      </c>
      <c r="G277" s="37">
        <v>0</v>
      </c>
      <c r="H277" s="37">
        <v>170000</v>
      </c>
    </row>
    <row r="278" spans="2:8" ht="15" thickBot="1" x14ac:dyDescent="0.4">
      <c r="B278" s="40">
        <v>12061</v>
      </c>
      <c r="C278" s="29" t="str">
        <f>"BRASIL MINAS  PROJETOS E ENGENHARIA  LTDA"</f>
        <v>BRASIL MINAS  PROJETOS E ENGENHARIA  LTDA</v>
      </c>
      <c r="D278" s="24" t="s">
        <v>46</v>
      </c>
      <c r="E278" s="24" t="s">
        <v>881</v>
      </c>
      <c r="F278" s="38">
        <v>12998</v>
      </c>
      <c r="G278" s="38">
        <v>0</v>
      </c>
      <c r="H278" s="38">
        <v>12998</v>
      </c>
    </row>
  </sheetData>
  <autoFilter ref="H1:H4" xr:uid="{710D4D02-506F-4CD5-A8EE-2CB5CF4958E5}"/>
  <mergeCells count="1">
    <mergeCell ref="B1:H3"/>
  </mergeCells>
  <printOptions horizontalCentered="1"/>
  <pageMargins left="0.70866141732283472" right="0.70866141732283472" top="1.1811023622047245" bottom="0.70866141732283472" header="0.39370078740157483" footer="0.19685039370078741"/>
  <pageSetup paperSize="9" scale="84" fitToHeight="0" orientation="landscape" r:id="rId1"/>
  <headerFooter>
    <oddHeader>&amp;L&amp;G&amp;"-,Negrito" Julho/2026 - GECOP</oddHeader>
    <oddFooter>&amp;CCompanhia de Desenvolvimento de Minas Gerais - Codemge
Rodovia Papa João Paulo II, 4001, 6º andar do Edifício Gerais Cidade Administrativa de Minas Gerais Serra Verde - CEP 31630-901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0182-6AF1-419E-8174-AAF133D02D0F}">
  <dimension ref="A1:G288"/>
  <sheetViews>
    <sheetView tabSelected="1" zoomScale="80" zoomScaleNormal="80" workbookViewId="0">
      <selection activeCell="B13" sqref="B13"/>
    </sheetView>
  </sheetViews>
  <sheetFormatPr defaultRowHeight="14.5" x14ac:dyDescent="0.35"/>
  <cols>
    <col min="2" max="2" width="78.36328125" customWidth="1"/>
    <col min="3" max="3" width="14.90625" customWidth="1"/>
    <col min="4" max="4" width="18.6328125" customWidth="1"/>
    <col min="5" max="5" width="19.90625" customWidth="1"/>
    <col min="6" max="6" width="21" customWidth="1"/>
    <col min="7" max="7" width="17.6328125" customWidth="1"/>
  </cols>
  <sheetData>
    <row r="1" spans="1:7" ht="15" thickBot="1" x14ac:dyDescent="0.4">
      <c r="A1" s="7" t="s">
        <v>6</v>
      </c>
      <c r="B1" s="9" t="s">
        <v>4</v>
      </c>
      <c r="C1" s="8" t="s">
        <v>7</v>
      </c>
      <c r="D1" s="8" t="s">
        <v>8</v>
      </c>
      <c r="E1" s="8" t="s">
        <v>2</v>
      </c>
      <c r="F1" s="8" t="s">
        <v>882</v>
      </c>
      <c r="G1" s="8" t="s">
        <v>0</v>
      </c>
    </row>
    <row r="2" spans="1:7" x14ac:dyDescent="0.35">
      <c r="A2" s="10">
        <v>100</v>
      </c>
      <c r="B2" s="11" t="str">
        <f>"INSTITUTO DE DESENVOLVIMENTO INTEGRADO DE MINAS GERAISINDI"</f>
        <v>INSTITUTO DE DESENVOLVIMENTO INTEGRADO DE MINAS GERAISINDI</v>
      </c>
      <c r="C2" s="14">
        <v>42736</v>
      </c>
      <c r="D2" s="14" t="s">
        <v>15</v>
      </c>
      <c r="E2" s="12" t="s">
        <v>11</v>
      </c>
      <c r="F2" s="13" t="s">
        <v>12</v>
      </c>
      <c r="G2" s="12" t="s">
        <v>13</v>
      </c>
    </row>
    <row r="3" spans="1:7" x14ac:dyDescent="0.35">
      <c r="A3" s="15">
        <v>1380</v>
      </c>
      <c r="B3" s="16" t="str">
        <f>"COMPANHIA BRASILEIRA DE METALURGIA E MINERACAO"</f>
        <v>COMPANHIA BRASILEIRA DE METALURGIA E MINERACAO</v>
      </c>
      <c r="C3" s="19">
        <v>42005</v>
      </c>
      <c r="D3" s="19" t="s">
        <v>15</v>
      </c>
      <c r="E3" s="17" t="s">
        <v>18</v>
      </c>
      <c r="F3" s="18" t="s">
        <v>19</v>
      </c>
      <c r="G3" s="17" t="s">
        <v>20</v>
      </c>
    </row>
    <row r="4" spans="1:7" x14ac:dyDescent="0.35">
      <c r="A4" s="15">
        <v>2588</v>
      </c>
      <c r="B4" s="16" t="str">
        <f>"SACHA CALMON MISABEL DERZI  CONSULTORES"</f>
        <v>SACHA CALMON MISABEL DERZI  CONSULTORES</v>
      </c>
      <c r="C4" s="19" t="s">
        <v>24</v>
      </c>
      <c r="D4" s="19" t="s">
        <v>25</v>
      </c>
      <c r="E4" s="17" t="s">
        <v>21</v>
      </c>
      <c r="F4" s="18" t="s">
        <v>22</v>
      </c>
      <c r="G4" s="17" t="s">
        <v>23</v>
      </c>
    </row>
    <row r="5" spans="1:7" x14ac:dyDescent="0.35">
      <c r="A5" s="15">
        <v>3300</v>
      </c>
      <c r="B5" s="16" t="str">
        <f>"CONSORCIO GESTOR MINASCENTRO"</f>
        <v>CONSORCIO GESTOR MINASCENTRO</v>
      </c>
      <c r="C5" s="19" t="s">
        <v>30</v>
      </c>
      <c r="D5" s="19" t="s">
        <v>31</v>
      </c>
      <c r="E5" s="17" t="s">
        <v>27</v>
      </c>
      <c r="F5" s="18" t="s">
        <v>28</v>
      </c>
      <c r="G5" s="17" t="s">
        <v>29</v>
      </c>
    </row>
    <row r="6" spans="1:7" x14ac:dyDescent="0.35">
      <c r="A6" s="15">
        <v>4239</v>
      </c>
      <c r="B6" s="16" t="str">
        <f>"POTTENCIAL SEGURADORA S A"</f>
        <v>POTTENCIAL SEGURADORA S A</v>
      </c>
      <c r="C6" s="19" t="s">
        <v>33</v>
      </c>
      <c r="D6" s="19">
        <v>47972</v>
      </c>
      <c r="E6" s="17" t="s">
        <v>32</v>
      </c>
      <c r="F6" s="18" t="s">
        <v>32</v>
      </c>
      <c r="G6" s="17" t="s">
        <v>14</v>
      </c>
    </row>
    <row r="7" spans="1:7" x14ac:dyDescent="0.35">
      <c r="A7" s="15">
        <v>4506</v>
      </c>
      <c r="B7" s="16" t="str">
        <f>"PREFEITURA MUNICIPAL DE LAGOA SANTA"</f>
        <v>PREFEITURA MUNICIPAL DE LAGOA SANTA</v>
      </c>
      <c r="C7" s="19" t="s">
        <v>35</v>
      </c>
      <c r="D7" s="19" t="s">
        <v>36</v>
      </c>
      <c r="E7" s="17" t="s">
        <v>34</v>
      </c>
      <c r="F7" s="18" t="s">
        <v>34</v>
      </c>
      <c r="G7" s="17" t="s">
        <v>14</v>
      </c>
    </row>
    <row r="8" spans="1:7" x14ac:dyDescent="0.35">
      <c r="A8" s="15">
        <v>5023</v>
      </c>
      <c r="B8" s="16" t="str">
        <f>"BANCO DO BRASIL S A"</f>
        <v>BANCO DO BRASIL S A</v>
      </c>
      <c r="C8" s="19" t="s">
        <v>38</v>
      </c>
      <c r="D8" s="19" t="s">
        <v>15</v>
      </c>
      <c r="E8" s="17" t="s">
        <v>37</v>
      </c>
      <c r="F8" s="18" t="s">
        <v>17</v>
      </c>
      <c r="G8" s="17" t="s">
        <v>37</v>
      </c>
    </row>
    <row r="9" spans="1:7" x14ac:dyDescent="0.35">
      <c r="A9" s="15">
        <v>5358</v>
      </c>
      <c r="B9" s="16" t="str">
        <f>"ABUZZA FILMES EIRELI  ME"</f>
        <v>ABUZZA FILMES EIRELI  ME</v>
      </c>
      <c r="C9" s="19">
        <v>43253</v>
      </c>
      <c r="D9" s="19" t="s">
        <v>40</v>
      </c>
      <c r="E9" s="17" t="s">
        <v>39</v>
      </c>
      <c r="F9" s="18" t="s">
        <v>17</v>
      </c>
      <c r="G9" s="17" t="s">
        <v>39</v>
      </c>
    </row>
    <row r="10" spans="1:7" x14ac:dyDescent="0.35">
      <c r="A10" s="15">
        <v>5359</v>
      </c>
      <c r="B10" s="16" t="str">
        <f>"BEZOURO COMUNICACAO CINE VIDEO LTDA  ME"</f>
        <v>BEZOURO COMUNICACAO CINE VIDEO LTDA  ME</v>
      </c>
      <c r="C10" s="19">
        <v>43253</v>
      </c>
      <c r="D10" s="19" t="s">
        <v>42</v>
      </c>
      <c r="E10" s="17" t="s">
        <v>41</v>
      </c>
      <c r="F10" s="18" t="s">
        <v>41</v>
      </c>
      <c r="G10" s="17" t="s">
        <v>14</v>
      </c>
    </row>
    <row r="11" spans="1:7" x14ac:dyDescent="0.35">
      <c r="A11" s="15">
        <v>5372</v>
      </c>
      <c r="B11" s="16" t="str">
        <f>"QUARTO STUDIO PRODUCAO AUDIOVISUAL LTDA"</f>
        <v>QUARTO STUDIO PRODUCAO AUDIOVISUAL LTDA</v>
      </c>
      <c r="C11" s="19">
        <v>43283</v>
      </c>
      <c r="D11" s="19" t="s">
        <v>44</v>
      </c>
      <c r="E11" s="17" t="s">
        <v>43</v>
      </c>
      <c r="F11" s="18" t="s">
        <v>43</v>
      </c>
      <c r="G11" s="17" t="s">
        <v>14</v>
      </c>
    </row>
    <row r="12" spans="1:7" x14ac:dyDescent="0.35">
      <c r="A12" s="15">
        <v>5377</v>
      </c>
      <c r="B12" s="16" t="str">
        <f>"VASTO MUNDO LTDA"</f>
        <v>VASTO MUNDO LTDA</v>
      </c>
      <c r="C12" s="19">
        <v>43314</v>
      </c>
      <c r="D12" s="19" t="s">
        <v>45</v>
      </c>
      <c r="E12" s="17" t="s">
        <v>43</v>
      </c>
      <c r="F12" s="18" t="s">
        <v>17</v>
      </c>
      <c r="G12" s="17" t="s">
        <v>43</v>
      </c>
    </row>
    <row r="13" spans="1:7" x14ac:dyDescent="0.35">
      <c r="A13" s="15">
        <v>5379</v>
      </c>
      <c r="B13" s="16" t="str">
        <f>"TANDERA FILMES E PRODUCOES EIRELI ME"</f>
        <v>TANDERA FILMES E PRODUCOES EIRELI ME</v>
      </c>
      <c r="C13" s="19">
        <v>43314</v>
      </c>
      <c r="D13" s="19" t="s">
        <v>46</v>
      </c>
      <c r="E13" s="17" t="s">
        <v>43</v>
      </c>
      <c r="F13" s="18" t="s">
        <v>43</v>
      </c>
      <c r="G13" s="17" t="s">
        <v>14</v>
      </c>
    </row>
    <row r="14" spans="1:7" x14ac:dyDescent="0.35">
      <c r="A14" s="15">
        <v>5381</v>
      </c>
      <c r="B14" s="16" t="str">
        <f>"VACA AMARELA PRODUCOES MULTIMIDIA LTDA"</f>
        <v>VACA AMARELA PRODUCOES MULTIMIDIA LTDA</v>
      </c>
      <c r="C14" s="19">
        <v>43314</v>
      </c>
      <c r="D14" s="19">
        <v>46509</v>
      </c>
      <c r="E14" s="17" t="s">
        <v>47</v>
      </c>
      <c r="F14" s="18" t="s">
        <v>47</v>
      </c>
      <c r="G14" s="17" t="s">
        <v>14</v>
      </c>
    </row>
    <row r="15" spans="1:7" x14ac:dyDescent="0.35">
      <c r="A15" s="15">
        <v>10099</v>
      </c>
      <c r="B15" s="16" t="str">
        <f>"NUTRIBOM EMPREENDIMENTOS IMOBILIARIOS LTDA"</f>
        <v>NUTRIBOM EMPREENDIMENTOS IMOBILIARIOS LTDA</v>
      </c>
      <c r="C15" s="19">
        <v>43223</v>
      </c>
      <c r="D15" s="19">
        <v>46846</v>
      </c>
      <c r="E15" s="17" t="s">
        <v>48</v>
      </c>
      <c r="F15" s="18" t="s">
        <v>17</v>
      </c>
      <c r="G15" s="17" t="s">
        <v>48</v>
      </c>
    </row>
    <row r="16" spans="1:7" x14ac:dyDescent="0.35">
      <c r="A16" s="15">
        <v>10457</v>
      </c>
      <c r="B16" s="16" t="str">
        <f>"VENTURA PRODUCOES AUDIOVISUAIS LTDA"</f>
        <v>VENTURA PRODUCOES AUDIOVISUAIS LTDA</v>
      </c>
      <c r="C16" s="19" t="s">
        <v>50</v>
      </c>
      <c r="D16" s="19" t="s">
        <v>51</v>
      </c>
      <c r="E16" s="17" t="s">
        <v>49</v>
      </c>
      <c r="F16" s="18" t="s">
        <v>49</v>
      </c>
      <c r="G16" s="17" t="s">
        <v>14</v>
      </c>
    </row>
    <row r="17" spans="1:7" x14ac:dyDescent="0.35">
      <c r="A17" s="15">
        <v>10606</v>
      </c>
      <c r="B17" s="16" t="str">
        <f>"RMX CONSERVADORA EIRELI  EPP"</f>
        <v>RMX CONSERVADORA EIRELI  EPP</v>
      </c>
      <c r="C17" s="19">
        <v>43618</v>
      </c>
      <c r="D17" s="19">
        <v>45079</v>
      </c>
      <c r="E17" s="17" t="s">
        <v>52</v>
      </c>
      <c r="F17" s="18" t="s">
        <v>53</v>
      </c>
      <c r="G17" s="17" t="s">
        <v>54</v>
      </c>
    </row>
    <row r="18" spans="1:7" x14ac:dyDescent="0.35">
      <c r="A18" s="15">
        <v>10876</v>
      </c>
      <c r="B18" s="16" t="str">
        <f>"JULIA PERENCIN JUNQUEIRA  MEI"</f>
        <v>JULIA PERENCIN JUNQUEIRA  MEI</v>
      </c>
      <c r="C18" s="19" t="s">
        <v>56</v>
      </c>
      <c r="D18" s="19" t="s">
        <v>57</v>
      </c>
      <c r="E18" s="17" t="s">
        <v>55</v>
      </c>
      <c r="F18" s="18" t="s">
        <v>17</v>
      </c>
      <c r="G18" s="17" t="s">
        <v>55</v>
      </c>
    </row>
    <row r="19" spans="1:7" x14ac:dyDescent="0.35">
      <c r="A19" s="15">
        <v>11072</v>
      </c>
      <c r="B19" s="16" t="str">
        <f>"AGUA MINERAL NATURAL FONTE E VIDA LTDA"</f>
        <v>AGUA MINERAL NATURAL FONTE E VIDA LTDA</v>
      </c>
      <c r="C19" s="19" t="s">
        <v>61</v>
      </c>
      <c r="D19" s="19" t="s">
        <v>62</v>
      </c>
      <c r="E19" s="17" t="s">
        <v>58</v>
      </c>
      <c r="F19" s="18" t="s">
        <v>59</v>
      </c>
      <c r="G19" s="17" t="s">
        <v>60</v>
      </c>
    </row>
    <row r="20" spans="1:7" x14ac:dyDescent="0.35">
      <c r="A20" s="15">
        <v>11084</v>
      </c>
      <c r="B20" s="16" t="str">
        <f>"PERFIL ENGENHARIA LTDA"</f>
        <v>PERFIL ENGENHARIA LTDA</v>
      </c>
      <c r="C20" s="19">
        <v>44147</v>
      </c>
      <c r="D20" s="19" t="s">
        <v>64</v>
      </c>
      <c r="E20" s="17" t="s">
        <v>63</v>
      </c>
      <c r="F20" s="18" t="s">
        <v>17</v>
      </c>
      <c r="G20" s="17" t="s">
        <v>63</v>
      </c>
    </row>
    <row r="21" spans="1:7" x14ac:dyDescent="0.35">
      <c r="A21" s="15">
        <v>11136</v>
      </c>
      <c r="B21" s="16" t="str">
        <f>"AGENCIA DE INTEGRACAO EMPRESA ESCOLA LTDA"</f>
        <v>AGENCIA DE INTEGRACAO EMPRESA ESCOLA LTDA</v>
      </c>
      <c r="C21" s="19" t="s">
        <v>68</v>
      </c>
      <c r="D21" s="19" t="s">
        <v>69</v>
      </c>
      <c r="E21" s="17" t="s">
        <v>65</v>
      </c>
      <c r="F21" s="18" t="s">
        <v>66</v>
      </c>
      <c r="G21" s="17" t="s">
        <v>67</v>
      </c>
    </row>
    <row r="22" spans="1:7" x14ac:dyDescent="0.35">
      <c r="A22" s="15">
        <v>11140</v>
      </c>
      <c r="B22" s="16" t="str">
        <f>"GONTIJO CALDAS  FLEURY ADVOGADOS ASSOCIADOS"</f>
        <v>GONTIJO CALDAS  FLEURY ADVOGADOS ASSOCIADOS</v>
      </c>
      <c r="C22" s="19" t="s">
        <v>73</v>
      </c>
      <c r="D22" s="19" t="s">
        <v>74</v>
      </c>
      <c r="E22" s="17" t="s">
        <v>70</v>
      </c>
      <c r="F22" s="18" t="s">
        <v>71</v>
      </c>
      <c r="G22" s="17" t="s">
        <v>72</v>
      </c>
    </row>
    <row r="23" spans="1:7" x14ac:dyDescent="0.35">
      <c r="A23" s="15">
        <v>11154</v>
      </c>
      <c r="B23" s="16" t="str">
        <f>"SECRETARIA DE ESTADO DE GOVERNO"</f>
        <v>SECRETARIA DE ESTADO DE GOVERNO</v>
      </c>
      <c r="C23" s="19" t="s">
        <v>78</v>
      </c>
      <c r="D23" s="19" t="s">
        <v>79</v>
      </c>
      <c r="E23" s="17" t="s">
        <v>75</v>
      </c>
      <c r="F23" s="18" t="s">
        <v>76</v>
      </c>
      <c r="G23" s="17" t="s">
        <v>77</v>
      </c>
    </row>
    <row r="24" spans="1:7" x14ac:dyDescent="0.35">
      <c r="A24" s="15">
        <v>11155</v>
      </c>
      <c r="B24" s="16" t="str">
        <f>"GONTIJO CALDAS  FLEURY ADVOGADOS ASSOCIADOS"</f>
        <v>GONTIJO CALDAS  FLEURY ADVOGADOS ASSOCIADOS</v>
      </c>
      <c r="C24" s="19" t="s">
        <v>80</v>
      </c>
      <c r="D24" s="19" t="s">
        <v>74</v>
      </c>
      <c r="E24" s="17" t="s">
        <v>70</v>
      </c>
      <c r="F24" s="18" t="s">
        <v>71</v>
      </c>
      <c r="G24" s="17" t="s">
        <v>72</v>
      </c>
    </row>
    <row r="25" spans="1:7" x14ac:dyDescent="0.35">
      <c r="A25" s="15">
        <v>11156</v>
      </c>
      <c r="B25" s="16" t="str">
        <f>"JAM SOLUCOES PREDIAIS LTDA"</f>
        <v>JAM SOLUCOES PREDIAIS LTDA</v>
      </c>
      <c r="C25" s="19">
        <v>44204</v>
      </c>
      <c r="D25" s="19">
        <v>46030</v>
      </c>
      <c r="E25" s="17" t="s">
        <v>81</v>
      </c>
      <c r="F25" s="18" t="s">
        <v>82</v>
      </c>
      <c r="G25" s="17" t="s">
        <v>83</v>
      </c>
    </row>
    <row r="26" spans="1:7" x14ac:dyDescent="0.35">
      <c r="A26" s="15">
        <v>11157</v>
      </c>
      <c r="B26" s="16" t="str">
        <f>"TRIUNFO SERVICOS LTDA ME"</f>
        <v>TRIUNFO SERVICOS LTDA ME</v>
      </c>
      <c r="C26" s="19">
        <v>44264</v>
      </c>
      <c r="D26" s="19">
        <v>46090</v>
      </c>
      <c r="E26" s="17" t="s">
        <v>84</v>
      </c>
      <c r="F26" s="18" t="s">
        <v>85</v>
      </c>
      <c r="G26" s="17" t="s">
        <v>86</v>
      </c>
    </row>
    <row r="27" spans="1:7" x14ac:dyDescent="0.35">
      <c r="A27" s="15">
        <v>11158</v>
      </c>
      <c r="B27" s="16" t="str">
        <f>"TRIUNFO SERVICOS LTDA ME"</f>
        <v>TRIUNFO SERVICOS LTDA ME</v>
      </c>
      <c r="C27" s="19">
        <v>44264</v>
      </c>
      <c r="D27" s="19">
        <v>46090</v>
      </c>
      <c r="E27" s="17" t="s">
        <v>87</v>
      </c>
      <c r="F27" s="18" t="s">
        <v>88</v>
      </c>
      <c r="G27" s="17" t="s">
        <v>89</v>
      </c>
    </row>
    <row r="28" spans="1:7" x14ac:dyDescent="0.35">
      <c r="A28" s="15">
        <v>11159</v>
      </c>
      <c r="B28" s="16" t="str">
        <f>"TRIUNFO SERVICOS LTDA ME"</f>
        <v>TRIUNFO SERVICOS LTDA ME</v>
      </c>
      <c r="C28" s="19">
        <v>44264</v>
      </c>
      <c r="D28" s="19">
        <v>46090</v>
      </c>
      <c r="E28" s="17" t="s">
        <v>90</v>
      </c>
      <c r="F28" s="18" t="s">
        <v>91</v>
      </c>
      <c r="G28" s="17" t="s">
        <v>92</v>
      </c>
    </row>
    <row r="29" spans="1:7" x14ac:dyDescent="0.35">
      <c r="A29" s="15">
        <v>11160</v>
      </c>
      <c r="B29" s="16" t="str">
        <f>"TOTVS SA"</f>
        <v>TOTVS SA</v>
      </c>
      <c r="C29" s="16" t="s">
        <v>96</v>
      </c>
      <c r="D29" s="25" t="s">
        <v>79</v>
      </c>
      <c r="E29" s="17" t="s">
        <v>93</v>
      </c>
      <c r="F29" s="18" t="s">
        <v>94</v>
      </c>
      <c r="G29" s="17" t="s">
        <v>95</v>
      </c>
    </row>
    <row r="30" spans="1:7" x14ac:dyDescent="0.35">
      <c r="A30" s="15">
        <v>11196</v>
      </c>
      <c r="B30" s="16" t="str">
        <f>"TRIUNFO SERVICOS LTDA ME"</f>
        <v>TRIUNFO SERVICOS LTDA ME</v>
      </c>
      <c r="C30" s="19" t="s">
        <v>100</v>
      </c>
      <c r="D30" s="19" t="s">
        <v>101</v>
      </c>
      <c r="E30" s="17" t="s">
        <v>97</v>
      </c>
      <c r="F30" s="18" t="s">
        <v>98</v>
      </c>
      <c r="G30" s="17" t="s">
        <v>99</v>
      </c>
    </row>
    <row r="31" spans="1:7" x14ac:dyDescent="0.35">
      <c r="A31" s="15">
        <v>11205</v>
      </c>
      <c r="B31" s="16" t="str">
        <f>"PRODEMGE  CIA DE TECNOL DA INFORMACAO DE MG"</f>
        <v>PRODEMGE  CIA DE TECNOL DA INFORMACAO DE MG</v>
      </c>
      <c r="C31" s="19">
        <v>44652</v>
      </c>
      <c r="D31" s="19">
        <v>46478</v>
      </c>
      <c r="E31" s="17" t="s">
        <v>102</v>
      </c>
      <c r="F31" s="18" t="s">
        <v>103</v>
      </c>
      <c r="G31" s="17" t="s">
        <v>104</v>
      </c>
    </row>
    <row r="32" spans="1:7" x14ac:dyDescent="0.35">
      <c r="A32" s="15">
        <v>11210</v>
      </c>
      <c r="B32" s="16" t="str">
        <f>"MATRIX COMERCIALIZADORA DE ENERGIA ELETR"</f>
        <v>MATRIX COMERCIALIZADORA DE ENERGIA ELETR</v>
      </c>
      <c r="C32" s="19" t="s">
        <v>108</v>
      </c>
      <c r="D32" s="19" t="s">
        <v>109</v>
      </c>
      <c r="E32" s="17" t="s">
        <v>105</v>
      </c>
      <c r="F32" s="18" t="s">
        <v>106</v>
      </c>
      <c r="G32" s="17" t="s">
        <v>107</v>
      </c>
    </row>
    <row r="33" spans="1:7" x14ac:dyDescent="0.35">
      <c r="A33" s="15">
        <v>11211</v>
      </c>
      <c r="B33" s="16" t="str">
        <f>"CORREIA LIMA ENGENHARIA LTDA"</f>
        <v>CORREIA LIMA ENGENHARIA LTDA</v>
      </c>
      <c r="C33" s="19" t="s">
        <v>111</v>
      </c>
      <c r="D33" s="19" t="s">
        <v>15</v>
      </c>
      <c r="E33" s="17" t="s">
        <v>110</v>
      </c>
      <c r="F33" s="18" t="s">
        <v>110</v>
      </c>
      <c r="G33" s="17" t="s">
        <v>14</v>
      </c>
    </row>
    <row r="34" spans="1:7" x14ac:dyDescent="0.35">
      <c r="A34" s="15">
        <v>11215</v>
      </c>
      <c r="B34" s="16" t="str">
        <f>"FLD SA"</f>
        <v>FLD SA</v>
      </c>
      <c r="C34" s="19" t="s">
        <v>115</v>
      </c>
      <c r="D34" s="19" t="s">
        <v>116</v>
      </c>
      <c r="E34" s="17" t="s">
        <v>112</v>
      </c>
      <c r="F34" s="18" t="s">
        <v>113</v>
      </c>
      <c r="G34" s="17" t="s">
        <v>114</v>
      </c>
    </row>
    <row r="35" spans="1:7" x14ac:dyDescent="0.35">
      <c r="A35" s="15">
        <v>11217</v>
      </c>
      <c r="B35" s="16" t="str">
        <f>"PRIME CONSULTORIA E ASSESSORIA EMPRESARIAL"</f>
        <v>PRIME CONSULTORIA E ASSESSORIA EMPRESARIAL</v>
      </c>
      <c r="C35" s="19" t="s">
        <v>120</v>
      </c>
      <c r="D35" s="19" t="s">
        <v>121</v>
      </c>
      <c r="E35" s="17" t="s">
        <v>117</v>
      </c>
      <c r="F35" s="18" t="s">
        <v>118</v>
      </c>
      <c r="G35" s="17" t="s">
        <v>119</v>
      </c>
    </row>
    <row r="36" spans="1:7" x14ac:dyDescent="0.35">
      <c r="A36" s="15">
        <v>11218</v>
      </c>
      <c r="B36" s="16" t="str">
        <f>"SANTANA RASTREAMENTO E MONITORAMENTO LTDA"</f>
        <v>SANTANA RASTREAMENTO E MONITORAMENTO LTDA</v>
      </c>
      <c r="C36" s="19" t="s">
        <v>111</v>
      </c>
      <c r="D36" s="19" t="s">
        <v>125</v>
      </c>
      <c r="E36" s="17" t="s">
        <v>122</v>
      </c>
      <c r="F36" s="18" t="s">
        <v>123</v>
      </c>
      <c r="G36" s="17" t="s">
        <v>124</v>
      </c>
    </row>
    <row r="37" spans="1:7" x14ac:dyDescent="0.35">
      <c r="A37" s="15">
        <v>11221</v>
      </c>
      <c r="B37" s="16" t="str">
        <f>"JULIO CESAR DE LIMA NETO"</f>
        <v>JULIO CESAR DE LIMA NETO</v>
      </c>
      <c r="C37" s="19" t="s">
        <v>129</v>
      </c>
      <c r="D37" s="19" t="s">
        <v>130</v>
      </c>
      <c r="E37" s="17" t="s">
        <v>126</v>
      </c>
      <c r="F37" s="18" t="s">
        <v>127</v>
      </c>
      <c r="G37" s="17" t="s">
        <v>128</v>
      </c>
    </row>
    <row r="38" spans="1:7" x14ac:dyDescent="0.35">
      <c r="A38" s="15">
        <v>11225</v>
      </c>
      <c r="B38" s="16" t="str">
        <f>"CENTRO DE DESENVOLVIMENTO DA TECNOLOGIA NUCLEAR"</f>
        <v>CENTRO DE DESENVOLVIMENTO DA TECNOLOGIA NUCLEAR</v>
      </c>
      <c r="C38" s="19">
        <v>44713</v>
      </c>
      <c r="D38" s="19">
        <v>52018</v>
      </c>
      <c r="E38" s="17" t="s">
        <v>131</v>
      </c>
      <c r="F38" s="18" t="s">
        <v>131</v>
      </c>
      <c r="G38" s="17" t="s">
        <v>14</v>
      </c>
    </row>
    <row r="39" spans="1:7" x14ac:dyDescent="0.35">
      <c r="A39" s="15">
        <v>11233</v>
      </c>
      <c r="B39" s="16" t="str">
        <f>"LEGAL CONTROLE TECNOLOGIA PARA GESTAO EMPRESARIAL LTDA"</f>
        <v>LEGAL CONTROLE TECNOLOGIA PARA GESTAO EMPRESARIAL LTDA</v>
      </c>
      <c r="C39" s="19" t="s">
        <v>135</v>
      </c>
      <c r="D39" s="19" t="s">
        <v>136</v>
      </c>
      <c r="E39" s="17" t="s">
        <v>132</v>
      </c>
      <c r="F39" s="18" t="s">
        <v>133</v>
      </c>
      <c r="G39" s="17" t="s">
        <v>134</v>
      </c>
    </row>
    <row r="40" spans="1:7" x14ac:dyDescent="0.35">
      <c r="A40" s="15">
        <v>11241</v>
      </c>
      <c r="B40" s="16" t="str">
        <f>"MAXIMO INFORMADOR JURIDICO LTDA"</f>
        <v>MAXIMO INFORMADOR JURIDICO LTDA</v>
      </c>
      <c r="C40" s="19">
        <v>44777</v>
      </c>
      <c r="D40" s="19">
        <v>46603</v>
      </c>
      <c r="E40" s="17" t="s">
        <v>137</v>
      </c>
      <c r="F40" s="18" t="s">
        <v>138</v>
      </c>
      <c r="G40" s="17" t="s">
        <v>139</v>
      </c>
    </row>
    <row r="41" spans="1:7" x14ac:dyDescent="0.35">
      <c r="A41" s="15">
        <v>11243</v>
      </c>
      <c r="B41" s="16" t="str">
        <f>"CEMIG DISTRIBUICAO S A"</f>
        <v>CEMIG DISTRIBUICAO S A</v>
      </c>
      <c r="C41" s="19" t="s">
        <v>143</v>
      </c>
      <c r="D41" s="19" t="s">
        <v>144</v>
      </c>
      <c r="E41" s="17" t="s">
        <v>140</v>
      </c>
      <c r="F41" s="18" t="s">
        <v>141</v>
      </c>
      <c r="G41" s="17" t="s">
        <v>142</v>
      </c>
    </row>
    <row r="42" spans="1:7" x14ac:dyDescent="0.35">
      <c r="A42" s="15">
        <v>11247</v>
      </c>
      <c r="B42" s="16" t="str">
        <f>"MULTI CULT PROMOCOES LTDA"</f>
        <v>MULTI CULT PROMOCOES LTDA</v>
      </c>
      <c r="C42" s="19">
        <v>44685</v>
      </c>
      <c r="D42" s="19">
        <v>46481</v>
      </c>
      <c r="E42" s="17" t="s">
        <v>145</v>
      </c>
      <c r="F42" s="18" t="s">
        <v>17</v>
      </c>
      <c r="G42" s="17" t="s">
        <v>145</v>
      </c>
    </row>
    <row r="43" spans="1:7" x14ac:dyDescent="0.35">
      <c r="A43" s="15">
        <v>11260</v>
      </c>
      <c r="B43" s="16" t="str">
        <f>"DF STAMATO E CIA LTDA"</f>
        <v>DF STAMATO E CIA LTDA</v>
      </c>
      <c r="C43" s="19">
        <v>44840</v>
      </c>
      <c r="D43" s="19">
        <v>46666</v>
      </c>
      <c r="E43" s="17" t="s">
        <v>146</v>
      </c>
      <c r="F43" s="18" t="s">
        <v>147</v>
      </c>
      <c r="G43" s="17" t="s">
        <v>148</v>
      </c>
    </row>
    <row r="44" spans="1:7" x14ac:dyDescent="0.35">
      <c r="A44" s="15">
        <v>11272</v>
      </c>
      <c r="B44" s="16" t="str">
        <f>"GREENSTONE DESENVOLVIMENTO E PROCESSAMENTO DE DADOS MINERAIS LTDA  ME"</f>
        <v>GREENSTONE DESENVOLVIMENTO E PROCESSAMENTO DE DADOS MINERAIS LTDA  ME</v>
      </c>
      <c r="C44" s="19" t="s">
        <v>153</v>
      </c>
      <c r="D44" s="19" t="s">
        <v>154</v>
      </c>
      <c r="E44" s="17" t="s">
        <v>150</v>
      </c>
      <c r="F44" s="18" t="s">
        <v>151</v>
      </c>
      <c r="G44" s="17" t="s">
        <v>152</v>
      </c>
    </row>
    <row r="45" spans="1:7" x14ac:dyDescent="0.35">
      <c r="A45" s="15">
        <v>11276</v>
      </c>
      <c r="B45" s="16" t="str">
        <f>"PINHEIRO NETO ADVOGADOS"</f>
        <v>PINHEIRO NETO ADVOGADOS</v>
      </c>
      <c r="C45" s="19" t="s">
        <v>158</v>
      </c>
      <c r="D45" s="19" t="s">
        <v>159</v>
      </c>
      <c r="E45" s="17" t="s">
        <v>155</v>
      </c>
      <c r="F45" s="18" t="s">
        <v>156</v>
      </c>
      <c r="G45" s="17" t="s">
        <v>157</v>
      </c>
    </row>
    <row r="46" spans="1:7" x14ac:dyDescent="0.35">
      <c r="A46" s="15">
        <v>11280</v>
      </c>
      <c r="B46" s="16" t="str">
        <f>"TRIVALE ADMINISTRACAO LTDA"</f>
        <v>TRIVALE ADMINISTRACAO LTDA</v>
      </c>
      <c r="C46" s="19">
        <v>44781</v>
      </c>
      <c r="D46" s="19">
        <v>46607</v>
      </c>
      <c r="E46" s="17" t="s">
        <v>160</v>
      </c>
      <c r="F46" s="18" t="s">
        <v>161</v>
      </c>
      <c r="G46" s="17" t="s">
        <v>162</v>
      </c>
    </row>
    <row r="47" spans="1:7" x14ac:dyDescent="0.35">
      <c r="A47" s="15">
        <v>11282</v>
      </c>
      <c r="B47" s="16" t="str">
        <f>"MOVE MAIS MEIOS DE PAGAMENTO LTDA"</f>
        <v>MOVE MAIS MEIOS DE PAGAMENTO LTDA</v>
      </c>
      <c r="C47" s="19" t="s">
        <v>166</v>
      </c>
      <c r="D47" s="19" t="s">
        <v>167</v>
      </c>
      <c r="E47" s="17" t="s">
        <v>163</v>
      </c>
      <c r="F47" s="18" t="s">
        <v>164</v>
      </c>
      <c r="G47" s="17" t="s">
        <v>165</v>
      </c>
    </row>
    <row r="48" spans="1:7" x14ac:dyDescent="0.35">
      <c r="A48" s="15">
        <v>11283</v>
      </c>
      <c r="B48" s="16" t="str">
        <f>"ESPACO CULTURAL PALACIO DAS MANGABEIRAS SPE S A"</f>
        <v>ESPACO CULTURAL PALACIO DAS MANGABEIRAS SPE S A</v>
      </c>
      <c r="C48" s="19">
        <v>44782</v>
      </c>
      <c r="D48" s="19">
        <v>46511</v>
      </c>
      <c r="E48" s="17" t="s">
        <v>168</v>
      </c>
      <c r="F48" s="18" t="s">
        <v>169</v>
      </c>
      <c r="G48" s="17" t="s">
        <v>170</v>
      </c>
    </row>
    <row r="49" spans="1:7" x14ac:dyDescent="0.35">
      <c r="A49" s="15">
        <v>11284</v>
      </c>
      <c r="B49" s="16" t="str">
        <f>"CLIFORD CHANCE SOCIEDADE DE CONSULTORES EM DIREITO ESTRANGEIRO"</f>
        <v>CLIFORD CHANCE SOCIEDADE DE CONSULTORES EM DIREITO ESTRANGEIRO</v>
      </c>
      <c r="C49" s="19">
        <v>44570</v>
      </c>
      <c r="D49" s="19">
        <v>46396</v>
      </c>
      <c r="E49" s="17" t="s">
        <v>171</v>
      </c>
      <c r="F49" s="18" t="s">
        <v>172</v>
      </c>
      <c r="G49" s="17" t="s">
        <v>173</v>
      </c>
    </row>
    <row r="50" spans="1:7" x14ac:dyDescent="0.35">
      <c r="A50" s="15">
        <v>11285</v>
      </c>
      <c r="B50" s="16" t="str">
        <f>"NETVIEW INFORMATICA LTDA"</f>
        <v>NETVIEW INFORMATICA LTDA</v>
      </c>
      <c r="C50" s="19">
        <v>44721</v>
      </c>
      <c r="D50" s="19">
        <v>46547</v>
      </c>
      <c r="E50" s="17" t="s">
        <v>174</v>
      </c>
      <c r="F50" s="18" t="s">
        <v>175</v>
      </c>
      <c r="G50" s="17" t="s">
        <v>176</v>
      </c>
    </row>
    <row r="51" spans="1:7" x14ac:dyDescent="0.35">
      <c r="A51" s="15">
        <v>11286</v>
      </c>
      <c r="B51" s="16" t="str">
        <f>"SOMPO SEGUROS SA"</f>
        <v>SOMPO SEGUROS SA</v>
      </c>
      <c r="C51" s="19">
        <v>44721</v>
      </c>
      <c r="D51" s="19">
        <v>46182</v>
      </c>
      <c r="E51" s="17" t="s">
        <v>177</v>
      </c>
      <c r="F51" s="18" t="s">
        <v>178</v>
      </c>
      <c r="G51" s="17" t="s">
        <v>16</v>
      </c>
    </row>
    <row r="52" spans="1:7" x14ac:dyDescent="0.35">
      <c r="A52" s="15">
        <v>11306</v>
      </c>
      <c r="B52" s="16" t="str">
        <f>"CETEST MINAS ENGENHARIA E SERVICOS S A"</f>
        <v>CETEST MINAS ENGENHARIA E SERVICOS S A</v>
      </c>
      <c r="C52" s="19">
        <v>44722</v>
      </c>
      <c r="D52" s="19">
        <v>46183</v>
      </c>
      <c r="E52" s="17" t="s">
        <v>179</v>
      </c>
      <c r="F52" s="18" t="s">
        <v>180</v>
      </c>
      <c r="G52" s="17" t="s">
        <v>181</v>
      </c>
    </row>
    <row r="53" spans="1:7" x14ac:dyDescent="0.35">
      <c r="A53" s="15">
        <v>11309</v>
      </c>
      <c r="B53" s="16" t="str">
        <f>"AC CLEAN COMERCIO DE LIMPEZA EIRELI  ME"</f>
        <v>AC CLEAN COMERCIO DE LIMPEZA EIRELI  ME</v>
      </c>
      <c r="C53" s="19">
        <v>44631</v>
      </c>
      <c r="D53" s="19">
        <v>46092</v>
      </c>
      <c r="E53" s="17" t="s">
        <v>182</v>
      </c>
      <c r="F53" s="18" t="s">
        <v>183</v>
      </c>
      <c r="G53" s="17" t="s">
        <v>184</v>
      </c>
    </row>
    <row r="54" spans="1:7" x14ac:dyDescent="0.35">
      <c r="A54" s="15">
        <v>11314</v>
      </c>
      <c r="B54" s="16" t="str">
        <f>"MARKIT GROUP LIMITED"</f>
        <v>MARKIT GROUP LIMITED</v>
      </c>
      <c r="C54" s="19">
        <v>44653</v>
      </c>
      <c r="D54" s="19">
        <v>46448</v>
      </c>
      <c r="E54" s="17" t="s">
        <v>185</v>
      </c>
      <c r="F54" s="18" t="s">
        <v>186</v>
      </c>
      <c r="G54" s="17" t="s">
        <v>187</v>
      </c>
    </row>
    <row r="55" spans="1:7" x14ac:dyDescent="0.35">
      <c r="A55" s="15">
        <v>11322</v>
      </c>
      <c r="B55" s="16" t="str">
        <f>"SECRETARIA DE ESTADO DE PLANEJAMENTO E GESTAO"</f>
        <v>SECRETARIA DE ESTADO DE PLANEJAMENTO E GESTAO</v>
      </c>
      <c r="C55" s="19" t="s">
        <v>191</v>
      </c>
      <c r="D55" s="19" t="s">
        <v>192</v>
      </c>
      <c r="E55" s="17" t="s">
        <v>188</v>
      </c>
      <c r="F55" s="18" t="s">
        <v>189</v>
      </c>
      <c r="G55" s="17" t="s">
        <v>190</v>
      </c>
    </row>
    <row r="56" spans="1:7" x14ac:dyDescent="0.35">
      <c r="A56" s="15">
        <v>11324</v>
      </c>
      <c r="B56" s="16" t="str">
        <f>"UPLEXIS TECNOLOGIA LTDA"</f>
        <v>UPLEXIS TECNOLOGIA LTDA</v>
      </c>
      <c r="C56" s="19" t="s">
        <v>196</v>
      </c>
      <c r="D56" s="19" t="s">
        <v>197</v>
      </c>
      <c r="E56" s="17" t="s">
        <v>193</v>
      </c>
      <c r="F56" s="18" t="s">
        <v>194</v>
      </c>
      <c r="G56" s="17" t="s">
        <v>195</v>
      </c>
    </row>
    <row r="57" spans="1:7" x14ac:dyDescent="0.35">
      <c r="A57" s="15">
        <v>11328</v>
      </c>
      <c r="B57" s="16" t="str">
        <f>"CONTI CONSULTORIA EM TECNOLOGIA DA INFOR"</f>
        <v>CONTI CONSULTORIA EM TECNOLOGIA DA INFOR</v>
      </c>
      <c r="C57" s="19">
        <v>45261</v>
      </c>
      <c r="D57" s="19">
        <v>47088</v>
      </c>
      <c r="E57" s="17" t="s">
        <v>198</v>
      </c>
      <c r="F57" s="18" t="s">
        <v>199</v>
      </c>
      <c r="G57" s="17" t="s">
        <v>200</v>
      </c>
    </row>
    <row r="58" spans="1:7" x14ac:dyDescent="0.35">
      <c r="A58" s="15">
        <v>11330</v>
      </c>
      <c r="B58" s="16" t="str">
        <f>"COMPANHIA DE GAS DE MINAS GERAIS GASMIG"</f>
        <v>COMPANHIA DE GAS DE MINAS GERAIS GASMIG</v>
      </c>
      <c r="C58" s="19" t="s">
        <v>204</v>
      </c>
      <c r="D58" s="19">
        <v>46722</v>
      </c>
      <c r="E58" s="17" t="s">
        <v>201</v>
      </c>
      <c r="F58" s="18" t="s">
        <v>202</v>
      </c>
      <c r="G58" s="17" t="s">
        <v>203</v>
      </c>
    </row>
    <row r="59" spans="1:7" x14ac:dyDescent="0.35">
      <c r="A59" s="15">
        <v>11332</v>
      </c>
      <c r="B59" s="16" t="str">
        <f>"GENTE SEGURADORA SA"</f>
        <v>GENTE SEGURADORA SA</v>
      </c>
      <c r="C59" s="19" t="s">
        <v>196</v>
      </c>
      <c r="D59" s="19" t="s">
        <v>205</v>
      </c>
      <c r="E59" s="17" t="s">
        <v>70</v>
      </c>
      <c r="F59" s="18" t="s">
        <v>70</v>
      </c>
      <c r="G59" s="17" t="s">
        <v>14</v>
      </c>
    </row>
    <row r="60" spans="1:7" x14ac:dyDescent="0.35">
      <c r="A60" s="15">
        <v>11334</v>
      </c>
      <c r="B60" s="16" t="str">
        <f>"COIMBRA CHAVES E BATISTA ADVOGADOS"</f>
        <v>COIMBRA CHAVES E BATISTA ADVOGADOS</v>
      </c>
      <c r="C60" s="19" t="s">
        <v>209</v>
      </c>
      <c r="D60" s="19" t="s">
        <v>210</v>
      </c>
      <c r="E60" s="17" t="s">
        <v>206</v>
      </c>
      <c r="F60" s="18" t="s">
        <v>207</v>
      </c>
      <c r="G60" s="17" t="s">
        <v>208</v>
      </c>
    </row>
    <row r="61" spans="1:7" x14ac:dyDescent="0.35">
      <c r="A61" s="15">
        <v>11343</v>
      </c>
      <c r="B61" s="16" t="str">
        <f>"ELEVEM LTDA  ME"</f>
        <v>ELEVEM LTDA  ME</v>
      </c>
      <c r="C61" s="19" t="s">
        <v>214</v>
      </c>
      <c r="D61" s="19" t="s">
        <v>215</v>
      </c>
      <c r="E61" s="17" t="s">
        <v>211</v>
      </c>
      <c r="F61" s="18" t="s">
        <v>212</v>
      </c>
      <c r="G61" s="17" t="s">
        <v>213</v>
      </c>
    </row>
    <row r="62" spans="1:7" x14ac:dyDescent="0.35">
      <c r="A62" s="15">
        <v>11345</v>
      </c>
      <c r="B62" s="16" t="str">
        <f>"CONSORCIO OPERACIONAL DO SISTEMA BILHETAGEM"</f>
        <v>CONSORCIO OPERACIONAL DO SISTEMA BILHETAGEM</v>
      </c>
      <c r="C62" s="19" t="s">
        <v>219</v>
      </c>
      <c r="D62" s="19" t="s">
        <v>220</v>
      </c>
      <c r="E62" s="17" t="s">
        <v>216</v>
      </c>
      <c r="F62" s="18" t="s">
        <v>217</v>
      </c>
      <c r="G62" s="17" t="s">
        <v>218</v>
      </c>
    </row>
    <row r="63" spans="1:7" x14ac:dyDescent="0.35">
      <c r="A63" s="15">
        <v>11354</v>
      </c>
      <c r="B63" s="16" t="str">
        <f>"LUIZ  ALBERTO  SALOMAO"</f>
        <v>LUIZ  ALBERTO  SALOMAO</v>
      </c>
      <c r="C63" s="19" t="s">
        <v>224</v>
      </c>
      <c r="D63" s="19" t="s">
        <v>225</v>
      </c>
      <c r="E63" s="17" t="s">
        <v>221</v>
      </c>
      <c r="F63" s="18" t="s">
        <v>222</v>
      </c>
      <c r="G63" s="17" t="s">
        <v>223</v>
      </c>
    </row>
    <row r="64" spans="1:7" x14ac:dyDescent="0.35">
      <c r="A64" s="15">
        <v>11356</v>
      </c>
      <c r="B64" s="16" t="str">
        <f>"CS BRASIL FROTAS SA"</f>
        <v>CS BRASIL FROTAS SA</v>
      </c>
      <c r="C64" s="19" t="s">
        <v>229</v>
      </c>
      <c r="D64" s="19" t="s">
        <v>230</v>
      </c>
      <c r="E64" s="17" t="s">
        <v>226</v>
      </c>
      <c r="F64" s="18" t="s">
        <v>227</v>
      </c>
      <c r="G64" s="17" t="s">
        <v>228</v>
      </c>
    </row>
    <row r="65" spans="1:7" x14ac:dyDescent="0.35">
      <c r="A65" s="15">
        <v>11358</v>
      </c>
      <c r="B65" s="16" t="str">
        <f>"EMPRESA MINEIRA DE COMUNICAO LTDA"</f>
        <v>EMPRESA MINEIRA DE COMUNICAO LTDA</v>
      </c>
      <c r="C65" s="19" t="s">
        <v>232</v>
      </c>
      <c r="D65" s="19" t="s">
        <v>233</v>
      </c>
      <c r="E65" s="17" t="s">
        <v>231</v>
      </c>
      <c r="F65" s="18" t="s">
        <v>17</v>
      </c>
      <c r="G65" s="17" t="s">
        <v>231</v>
      </c>
    </row>
    <row r="66" spans="1:7" x14ac:dyDescent="0.35">
      <c r="A66" s="15">
        <v>11361</v>
      </c>
      <c r="B66" s="16" t="str">
        <f>"RICCI DIARIOS PUBLICIDADE E AGENCIAMENTO"</f>
        <v>RICCI DIARIOS PUBLICIDADE E AGENCIAMENTO</v>
      </c>
      <c r="C66" s="19">
        <v>45264</v>
      </c>
      <c r="D66" s="19">
        <v>47091</v>
      </c>
      <c r="E66" s="17" t="s">
        <v>234</v>
      </c>
      <c r="F66" s="18" t="s">
        <v>235</v>
      </c>
      <c r="G66" s="17" t="s">
        <v>236</v>
      </c>
    </row>
    <row r="67" spans="1:7" x14ac:dyDescent="0.35">
      <c r="A67" s="15">
        <v>11363</v>
      </c>
      <c r="B67" s="16" t="str">
        <f>"CONSORCIO OTIMO DE BILHETAGEM ELETRONICA"</f>
        <v>CONSORCIO OTIMO DE BILHETAGEM ELETRONICA</v>
      </c>
      <c r="C67" s="19" t="s">
        <v>238</v>
      </c>
      <c r="D67" s="19" t="s">
        <v>239</v>
      </c>
      <c r="E67" s="17" t="s">
        <v>237</v>
      </c>
      <c r="F67" s="18">
        <v>5879500</v>
      </c>
      <c r="G67" s="17">
        <v>8034500</v>
      </c>
    </row>
    <row r="68" spans="1:7" x14ac:dyDescent="0.35">
      <c r="A68" s="15">
        <v>11370</v>
      </c>
      <c r="B68" s="16" t="str">
        <f>"ATC"</f>
        <v>ATC</v>
      </c>
      <c r="C68" s="19">
        <v>45204</v>
      </c>
      <c r="D68" s="19">
        <v>46600</v>
      </c>
      <c r="E68" s="17" t="s">
        <v>240</v>
      </c>
      <c r="F68" s="18" t="s">
        <v>241</v>
      </c>
      <c r="G68" s="17" t="s">
        <v>242</v>
      </c>
    </row>
    <row r="69" spans="1:7" x14ac:dyDescent="0.35">
      <c r="A69" s="15">
        <v>11390</v>
      </c>
      <c r="B69" s="16" t="str">
        <f>"MCR SISTEMAS E CONSULTORIA LTDA"</f>
        <v>MCR SISTEMAS E CONSULTORIA LTDA</v>
      </c>
      <c r="C69" s="19">
        <v>45114</v>
      </c>
      <c r="D69" s="19">
        <v>46575</v>
      </c>
      <c r="E69" s="17" t="s">
        <v>243</v>
      </c>
      <c r="F69" s="18" t="s">
        <v>244</v>
      </c>
      <c r="G69" s="17" t="s">
        <v>245</v>
      </c>
    </row>
    <row r="70" spans="1:7" x14ac:dyDescent="0.35">
      <c r="A70" s="15">
        <v>11399</v>
      </c>
      <c r="B70" s="16" t="str">
        <f>"MGS MINAS GERAIS ADMINISTRACAO E SER SA"</f>
        <v>MGS MINAS GERAIS ADMINISTRACAO E SER SA</v>
      </c>
      <c r="C70" s="19" t="s">
        <v>249</v>
      </c>
      <c r="D70" s="19" t="s">
        <v>250</v>
      </c>
      <c r="E70" s="17" t="s">
        <v>246</v>
      </c>
      <c r="F70" s="18" t="s">
        <v>247</v>
      </c>
      <c r="G70" s="17" t="s">
        <v>248</v>
      </c>
    </row>
    <row r="71" spans="1:7" x14ac:dyDescent="0.35">
      <c r="A71" s="15">
        <v>11408</v>
      </c>
      <c r="B71" s="16" t="str">
        <f>"SECRETARIA DE ESTADO DE GOVERNO"</f>
        <v>SECRETARIA DE ESTADO DE GOVERNO</v>
      </c>
      <c r="C71" s="19" t="s">
        <v>254</v>
      </c>
      <c r="D71" s="19" t="s">
        <v>255</v>
      </c>
      <c r="E71" s="17" t="s">
        <v>251</v>
      </c>
      <c r="F71" s="18" t="s">
        <v>252</v>
      </c>
      <c r="G71" s="17" t="s">
        <v>253</v>
      </c>
    </row>
    <row r="72" spans="1:7" x14ac:dyDescent="0.35">
      <c r="A72" s="15">
        <v>11410</v>
      </c>
      <c r="B72" s="16" t="str">
        <f>"ABATEX INDUSTRIA E COMERCIO LTDA"</f>
        <v>ABATEX INDUSTRIA E COMERCIO LTDA</v>
      </c>
      <c r="C72" s="19">
        <v>45239</v>
      </c>
      <c r="D72" s="19">
        <v>47066</v>
      </c>
      <c r="E72" s="17" t="s">
        <v>256</v>
      </c>
      <c r="F72" s="18" t="s">
        <v>256</v>
      </c>
      <c r="G72" s="17" t="s">
        <v>14</v>
      </c>
    </row>
    <row r="73" spans="1:7" x14ac:dyDescent="0.35">
      <c r="A73" s="15">
        <v>11416</v>
      </c>
      <c r="B73" s="16" t="str">
        <f>"AC CLEAN COMERCIO DE LIMPEZA EIRELI  ME"</f>
        <v>AC CLEAN COMERCIO DE LIMPEZA EIRELI  ME</v>
      </c>
      <c r="C73" s="19">
        <v>45086</v>
      </c>
      <c r="D73" s="19">
        <v>46547</v>
      </c>
      <c r="E73" s="17" t="s">
        <v>257</v>
      </c>
      <c r="F73" s="18" t="s">
        <v>258</v>
      </c>
      <c r="G73" s="17" t="s">
        <v>259</v>
      </c>
    </row>
    <row r="74" spans="1:7" x14ac:dyDescent="0.35">
      <c r="A74" s="15">
        <v>11420</v>
      </c>
      <c r="B74" s="16" t="str">
        <f>"AOVS SISTEMAS DE  INFORMATICA SA"</f>
        <v>AOVS SISTEMAS DE  INFORMATICA SA</v>
      </c>
      <c r="C74" s="19" t="s">
        <v>262</v>
      </c>
      <c r="D74" s="19" t="s">
        <v>263</v>
      </c>
      <c r="E74" s="17" t="s">
        <v>260</v>
      </c>
      <c r="F74" s="18" t="s">
        <v>261</v>
      </c>
      <c r="G74" s="17">
        <v>6820400</v>
      </c>
    </row>
    <row r="75" spans="1:7" x14ac:dyDescent="0.35">
      <c r="A75" s="15">
        <v>11425</v>
      </c>
      <c r="B75" s="16" t="str">
        <f>"HIPERTEXTO COMUNICACAO EMPRESARIAL SOCIEDADE SIMPLES   PURA"</f>
        <v>HIPERTEXTO COMUNICACAO EMPRESARIAL SOCIEDADE SIMPLES   PURA</v>
      </c>
      <c r="C75" s="19" t="s">
        <v>267</v>
      </c>
      <c r="D75" s="19" t="s">
        <v>268</v>
      </c>
      <c r="E75" s="17" t="s">
        <v>264</v>
      </c>
      <c r="F75" s="18" t="s">
        <v>265</v>
      </c>
      <c r="G75" s="17" t="s">
        <v>266</v>
      </c>
    </row>
    <row r="76" spans="1:7" x14ac:dyDescent="0.35">
      <c r="A76" s="15">
        <v>11429</v>
      </c>
      <c r="B76" s="16" t="str">
        <f>"FORT SECURE TECNOLOGIA LTDA"</f>
        <v>FORT SECURE TECNOLOGIA LTDA</v>
      </c>
      <c r="C76" s="19" t="s">
        <v>272</v>
      </c>
      <c r="D76" s="19" t="s">
        <v>273</v>
      </c>
      <c r="E76" s="17" t="s">
        <v>269</v>
      </c>
      <c r="F76" s="18" t="s">
        <v>270</v>
      </c>
      <c r="G76" s="17" t="s">
        <v>271</v>
      </c>
    </row>
    <row r="77" spans="1:7" x14ac:dyDescent="0.35">
      <c r="A77" s="15">
        <v>11441</v>
      </c>
      <c r="B77" s="16" t="str">
        <f>"CCA AUTOMACAO  PREDIAL LTDA ME"</f>
        <v>CCA AUTOMACAO  PREDIAL LTDA ME</v>
      </c>
      <c r="C77" s="19" t="s">
        <v>277</v>
      </c>
      <c r="D77" s="19" t="s">
        <v>278</v>
      </c>
      <c r="E77" s="17" t="s">
        <v>274</v>
      </c>
      <c r="F77" s="18" t="s">
        <v>275</v>
      </c>
      <c r="G77" s="17" t="s">
        <v>276</v>
      </c>
    </row>
    <row r="78" spans="1:7" x14ac:dyDescent="0.35">
      <c r="A78" s="15">
        <v>11442</v>
      </c>
      <c r="B78" s="16" t="str">
        <f>"CENTRIC SYSTEM BRAZIL SOFTWARES LTDA"</f>
        <v>CENTRIC SYSTEM BRAZIL SOFTWARES LTDA</v>
      </c>
      <c r="C78" s="19" t="s">
        <v>282</v>
      </c>
      <c r="D78" s="19" t="s">
        <v>283</v>
      </c>
      <c r="E78" s="17" t="s">
        <v>279</v>
      </c>
      <c r="F78" s="18" t="s">
        <v>280</v>
      </c>
      <c r="G78" s="17" t="s">
        <v>281</v>
      </c>
    </row>
    <row r="79" spans="1:7" x14ac:dyDescent="0.35">
      <c r="A79" s="15">
        <v>11452</v>
      </c>
      <c r="B79" s="16" t="str">
        <f>"PREFEITURA MUNICIPAL DE LAGOA SANTA"</f>
        <v>PREFEITURA MUNICIPAL DE LAGOA SANTA</v>
      </c>
      <c r="C79" s="19">
        <v>45088</v>
      </c>
      <c r="D79" s="19">
        <v>46601</v>
      </c>
      <c r="E79" s="17" t="s">
        <v>284</v>
      </c>
      <c r="F79" s="18" t="s">
        <v>284</v>
      </c>
      <c r="G79" s="17" t="s">
        <v>14</v>
      </c>
    </row>
    <row r="80" spans="1:7" x14ac:dyDescent="0.35">
      <c r="A80" s="15">
        <v>11456</v>
      </c>
      <c r="B80" s="16" t="str">
        <f>"INTERNATIONAL FINANCE CORPORATION"</f>
        <v>INTERNATIONAL FINANCE CORPORATION</v>
      </c>
      <c r="C80" s="19">
        <v>45118</v>
      </c>
      <c r="D80" s="19">
        <v>46214</v>
      </c>
      <c r="E80" s="17" t="s">
        <v>285</v>
      </c>
      <c r="F80" s="18" t="s">
        <v>286</v>
      </c>
      <c r="G80" s="17" t="s">
        <v>287</v>
      </c>
    </row>
    <row r="81" spans="1:7" x14ac:dyDescent="0.35">
      <c r="A81" s="15">
        <v>11458</v>
      </c>
      <c r="B81" s="16" t="str">
        <f>"VALEC ENGENHARIA CONSTRUCOES E FERROVIAS SA"</f>
        <v>VALEC ENGENHARIA CONSTRUCOES E FERROVIAS SA</v>
      </c>
      <c r="C81" s="19" t="s">
        <v>291</v>
      </c>
      <c r="D81" s="19">
        <v>46365</v>
      </c>
      <c r="E81" s="17" t="s">
        <v>288</v>
      </c>
      <c r="F81" s="18" t="s">
        <v>289</v>
      </c>
      <c r="G81" s="17" t="s">
        <v>290</v>
      </c>
    </row>
    <row r="82" spans="1:7" x14ac:dyDescent="0.35">
      <c r="A82" s="15">
        <v>11460</v>
      </c>
      <c r="B82" s="16" t="str">
        <f>"AVATZ GEOLOGIA E ENGENHARIA AMBIENTAL E SEGURANCA DO TRABALHO LTDA"</f>
        <v>AVATZ GEOLOGIA E ENGENHARIA AMBIENTAL E SEGURANCA DO TRABALHO LTDA</v>
      </c>
      <c r="C82" s="19" t="s">
        <v>295</v>
      </c>
      <c r="D82" s="19" t="s">
        <v>296</v>
      </c>
      <c r="E82" s="17" t="s">
        <v>292</v>
      </c>
      <c r="F82" s="18" t="s">
        <v>293</v>
      </c>
      <c r="G82" s="17" t="s">
        <v>294</v>
      </c>
    </row>
    <row r="83" spans="1:7" x14ac:dyDescent="0.35">
      <c r="A83" s="15">
        <v>11467</v>
      </c>
      <c r="B83" s="16" t="str">
        <f>"PRODEMGE  CIA DE TECNOL DA INFORMACAO DE MG"</f>
        <v>PRODEMGE  CIA DE TECNOL DA INFORMACAO DE MG</v>
      </c>
      <c r="C83" s="19" t="s">
        <v>300</v>
      </c>
      <c r="D83" s="19" t="s">
        <v>301</v>
      </c>
      <c r="E83" s="17" t="s">
        <v>297</v>
      </c>
      <c r="F83" s="18" t="s">
        <v>298</v>
      </c>
      <c r="G83" s="17" t="s">
        <v>299</v>
      </c>
    </row>
    <row r="84" spans="1:7" x14ac:dyDescent="0.35">
      <c r="A84" s="15">
        <v>11473</v>
      </c>
      <c r="B84" s="16" t="str">
        <f>"NP CAPACITACAO E SOLUCOES TECNOLOGICAS LTDA"</f>
        <v>NP CAPACITACAO E SOLUCOES TECNOLOGICAS LTDA</v>
      </c>
      <c r="C84" s="19">
        <v>45089</v>
      </c>
      <c r="D84" s="19">
        <v>46185</v>
      </c>
      <c r="E84" s="17" t="s">
        <v>302</v>
      </c>
      <c r="F84" s="18" t="s">
        <v>302</v>
      </c>
      <c r="G84" s="17" t="s">
        <v>14</v>
      </c>
    </row>
    <row r="85" spans="1:7" x14ac:dyDescent="0.35">
      <c r="A85" s="15">
        <v>11478</v>
      </c>
      <c r="B85" s="16" t="str">
        <f>"GRANDE HOTEL DE ARAXA E TERMAS LTDA"</f>
        <v>GRANDE HOTEL DE ARAXA E TERMAS LTDA</v>
      </c>
      <c r="C85" s="19" t="s">
        <v>300</v>
      </c>
      <c r="D85" s="19" t="s">
        <v>26</v>
      </c>
      <c r="E85" s="17" t="s">
        <v>303</v>
      </c>
      <c r="F85" s="18" t="s">
        <v>304</v>
      </c>
      <c r="G85" s="17" t="s">
        <v>305</v>
      </c>
    </row>
    <row r="86" spans="1:7" x14ac:dyDescent="0.35">
      <c r="A86" s="15">
        <v>11487</v>
      </c>
      <c r="B86" s="16" t="str">
        <f>"FUNDACAO DOM CABRAL"</f>
        <v>FUNDACAO DOM CABRAL</v>
      </c>
      <c r="C86" s="19">
        <v>45627</v>
      </c>
      <c r="D86" s="19" t="s">
        <v>307</v>
      </c>
      <c r="E86" s="17" t="s">
        <v>306</v>
      </c>
      <c r="F86" s="18" t="s">
        <v>306</v>
      </c>
      <c r="G86" s="17" t="s">
        <v>14</v>
      </c>
    </row>
    <row r="87" spans="1:7" x14ac:dyDescent="0.35">
      <c r="A87" s="15">
        <v>11506</v>
      </c>
      <c r="B87" s="16" t="str">
        <f>"CRU INTERNATIONAL LIMITED"</f>
        <v>CRU INTERNATIONAL LIMITED</v>
      </c>
      <c r="C87" s="19">
        <v>44935</v>
      </c>
      <c r="D87" s="19" t="s">
        <v>312</v>
      </c>
      <c r="E87" s="17" t="s">
        <v>309</v>
      </c>
      <c r="F87" s="18" t="s">
        <v>310</v>
      </c>
      <c r="G87" s="17" t="s">
        <v>311</v>
      </c>
    </row>
    <row r="88" spans="1:7" x14ac:dyDescent="0.35">
      <c r="A88" s="15">
        <v>11509</v>
      </c>
      <c r="B88" s="16" t="str">
        <f>"CEMIG DISTRIBUICAO S A"</f>
        <v>CEMIG DISTRIBUICAO S A</v>
      </c>
      <c r="C88" s="19" t="s">
        <v>316</v>
      </c>
      <c r="D88" s="19" t="s">
        <v>317</v>
      </c>
      <c r="E88" s="17" t="s">
        <v>313</v>
      </c>
      <c r="F88" s="18" t="s">
        <v>314</v>
      </c>
      <c r="G88" s="17" t="s">
        <v>315</v>
      </c>
    </row>
    <row r="89" spans="1:7" x14ac:dyDescent="0.35">
      <c r="A89" s="15">
        <v>11517</v>
      </c>
      <c r="B89" s="16" t="str">
        <f>"BANCO NACIONAL DE DESENVOLVIMENTO ECONOMICO E SOCIAL"</f>
        <v>BANCO NACIONAL DE DESENVOLVIMENTO ECONOMICO E SOCIAL</v>
      </c>
      <c r="C89" s="19">
        <v>45629</v>
      </c>
      <c r="D89" s="19">
        <v>46694</v>
      </c>
      <c r="E89" s="17" t="s">
        <v>318</v>
      </c>
      <c r="F89" s="18" t="s">
        <v>17</v>
      </c>
      <c r="G89" s="17" t="s">
        <v>318</v>
      </c>
    </row>
    <row r="90" spans="1:7" x14ac:dyDescent="0.35">
      <c r="A90" s="15">
        <v>11518</v>
      </c>
      <c r="B90" s="16" t="str">
        <f>"SECRETARIA DE ESTADO DE CULTURA"</f>
        <v>SECRETARIA DE ESTADO DE CULTURA</v>
      </c>
      <c r="C90" s="19">
        <v>45326</v>
      </c>
      <c r="D90" s="19">
        <v>46391</v>
      </c>
      <c r="E90" s="17" t="s">
        <v>319</v>
      </c>
      <c r="F90" s="18" t="s">
        <v>319</v>
      </c>
      <c r="G90" s="17" t="s">
        <v>14</v>
      </c>
    </row>
    <row r="91" spans="1:7" x14ac:dyDescent="0.35">
      <c r="A91" s="15">
        <v>11523</v>
      </c>
      <c r="B91" s="16" t="str">
        <f>"FEDERACAO DAS INDUSTRIAS DO ESTADO DE MINAS GERAIS"</f>
        <v>FEDERACAO DAS INDUSTRIAS DO ESTADO DE MINAS GERAIS</v>
      </c>
      <c r="C91" s="19">
        <v>45386</v>
      </c>
      <c r="D91" s="19" t="s">
        <v>322</v>
      </c>
      <c r="E91" s="17" t="s">
        <v>131</v>
      </c>
      <c r="F91" s="18" t="s">
        <v>320</v>
      </c>
      <c r="G91" s="17" t="s">
        <v>321</v>
      </c>
    </row>
    <row r="92" spans="1:7" x14ac:dyDescent="0.35">
      <c r="A92" s="15">
        <v>11527</v>
      </c>
      <c r="B92" s="16" t="str">
        <f>"INSTITUTO DE EDUCACAO  E CULTURA SA"</f>
        <v>INSTITUTO DE EDUCACAO  E CULTURA SA</v>
      </c>
      <c r="C92" s="19">
        <v>45630</v>
      </c>
      <c r="D92" s="19" t="s">
        <v>326</v>
      </c>
      <c r="E92" s="17" t="s">
        <v>323</v>
      </c>
      <c r="F92" s="18" t="s">
        <v>324</v>
      </c>
      <c r="G92" s="17" t="s">
        <v>325</v>
      </c>
    </row>
    <row r="93" spans="1:7" x14ac:dyDescent="0.35">
      <c r="A93" s="15">
        <v>11531</v>
      </c>
      <c r="B93" s="16" t="str">
        <f>"INSTITUTO DE EDUCACAO  E CULTURA SA"</f>
        <v>INSTITUTO DE EDUCACAO  E CULTURA SA</v>
      </c>
      <c r="C93" s="19" t="s">
        <v>330</v>
      </c>
      <c r="D93" s="19" t="s">
        <v>326</v>
      </c>
      <c r="E93" s="17" t="s">
        <v>327</v>
      </c>
      <c r="F93" s="18" t="s">
        <v>328</v>
      </c>
      <c r="G93" s="17" t="s">
        <v>329</v>
      </c>
    </row>
    <row r="94" spans="1:7" x14ac:dyDescent="0.35">
      <c r="A94" s="15">
        <v>11532</v>
      </c>
      <c r="B94" s="16" t="str">
        <f>"CENOFISCO EDITORA DE PUBLICACOES TRIBUTA"</f>
        <v>CENOFISCO EDITORA DE PUBLICACOES TRIBUTA</v>
      </c>
      <c r="C94" s="19">
        <v>45295</v>
      </c>
      <c r="D94" s="19" t="s">
        <v>332</v>
      </c>
      <c r="E94" s="17" t="s">
        <v>331</v>
      </c>
      <c r="F94" s="18" t="s">
        <v>331</v>
      </c>
      <c r="G94" s="17" t="s">
        <v>14</v>
      </c>
    </row>
    <row r="95" spans="1:7" x14ac:dyDescent="0.35">
      <c r="A95" s="15">
        <v>11538</v>
      </c>
      <c r="B95" s="16" t="str">
        <f>"CONTI CONSULTORIA EM TECNOLOGIA DA INFOR"</f>
        <v>CONTI CONSULTORIA EM TECNOLOGIA DA INFOR</v>
      </c>
      <c r="C95" s="19" t="s">
        <v>336</v>
      </c>
      <c r="D95" s="19" t="s">
        <v>337</v>
      </c>
      <c r="E95" s="17" t="s">
        <v>333</v>
      </c>
      <c r="F95" s="18" t="s">
        <v>334</v>
      </c>
      <c r="G95" s="17" t="s">
        <v>335</v>
      </c>
    </row>
    <row r="96" spans="1:7" x14ac:dyDescent="0.35">
      <c r="A96" s="15">
        <v>11539</v>
      </c>
      <c r="B96" s="16" t="str">
        <f>"ESCRITORIO DAS NACOES UNIDAS SERVICO DE  PROJETOS"</f>
        <v>ESCRITORIO DAS NACOES UNIDAS SERVICO DE  PROJETOS</v>
      </c>
      <c r="C96" s="19">
        <v>45508</v>
      </c>
      <c r="D96" s="19">
        <v>46607</v>
      </c>
      <c r="E96" s="17" t="s">
        <v>338</v>
      </c>
      <c r="F96" s="18" t="s">
        <v>339</v>
      </c>
      <c r="G96" s="17" t="s">
        <v>340</v>
      </c>
    </row>
    <row r="97" spans="1:7" x14ac:dyDescent="0.35">
      <c r="A97" s="15">
        <v>11541</v>
      </c>
      <c r="B97" s="16" t="str">
        <f>"ZENITE INFORMACAO E CONSULTORIA S A"</f>
        <v>ZENITE INFORMACAO E CONSULTORIA S A</v>
      </c>
      <c r="C97" s="19">
        <v>45540</v>
      </c>
      <c r="D97" s="19">
        <v>46635</v>
      </c>
      <c r="E97" s="17" t="s">
        <v>341</v>
      </c>
      <c r="F97" s="18" t="s">
        <v>341</v>
      </c>
      <c r="G97" s="17" t="s">
        <v>14</v>
      </c>
    </row>
    <row r="98" spans="1:7" x14ac:dyDescent="0.35">
      <c r="A98" s="15">
        <v>11543</v>
      </c>
      <c r="B98" s="16" t="str">
        <f>"RADAR PPP LTDA"</f>
        <v>RADAR PPP LTDA</v>
      </c>
      <c r="C98" s="19" t="s">
        <v>342</v>
      </c>
      <c r="D98" s="19" t="s">
        <v>347</v>
      </c>
      <c r="E98" s="17" t="s">
        <v>344</v>
      </c>
      <c r="F98" s="18" t="s">
        <v>345</v>
      </c>
      <c r="G98" s="17" t="s">
        <v>346</v>
      </c>
    </row>
    <row r="99" spans="1:7" x14ac:dyDescent="0.35">
      <c r="A99" s="15">
        <v>11544</v>
      </c>
      <c r="B99" s="16" t="str">
        <f>"KEPLER VIAGENS EVENTOS E TURISMO EIRELI"</f>
        <v>KEPLER VIAGENS EVENTOS E TURISMO EIRELI</v>
      </c>
      <c r="C99" s="19" t="s">
        <v>342</v>
      </c>
      <c r="D99" s="19" t="s">
        <v>343</v>
      </c>
      <c r="E99" s="17" t="s">
        <v>348</v>
      </c>
      <c r="F99" s="18" t="s">
        <v>349</v>
      </c>
      <c r="G99" s="17" t="s">
        <v>350</v>
      </c>
    </row>
    <row r="100" spans="1:7" x14ac:dyDescent="0.35">
      <c r="A100" s="15">
        <v>11546</v>
      </c>
      <c r="B100" s="16" t="str">
        <f>"GONTIJO CALDAS  FLEURY ADVOGADOS ASSOCIADOS"</f>
        <v>GONTIJO CALDAS  FLEURY ADVOGADOS ASSOCIADOS</v>
      </c>
      <c r="C100" s="19" t="s">
        <v>352</v>
      </c>
      <c r="D100" s="19" t="s">
        <v>353</v>
      </c>
      <c r="E100" s="17" t="s">
        <v>351</v>
      </c>
      <c r="F100" s="18" t="s">
        <v>70</v>
      </c>
      <c r="G100" s="17" t="s">
        <v>23</v>
      </c>
    </row>
    <row r="101" spans="1:7" x14ac:dyDescent="0.35">
      <c r="A101" s="15">
        <v>11556</v>
      </c>
      <c r="B101" s="16" t="str">
        <f>"MUNICIPIO DE CARBONITA"</f>
        <v>MUNICIPIO DE CARBONITA</v>
      </c>
      <c r="C101" s="19">
        <v>45357</v>
      </c>
      <c r="D101" s="19" t="s">
        <v>355</v>
      </c>
      <c r="E101" s="17" t="s">
        <v>354</v>
      </c>
      <c r="F101" s="18" t="s">
        <v>354</v>
      </c>
      <c r="G101" s="17" t="s">
        <v>14</v>
      </c>
    </row>
    <row r="102" spans="1:7" x14ac:dyDescent="0.35">
      <c r="A102" s="15">
        <v>11560</v>
      </c>
      <c r="B102" s="16" t="str">
        <f>"ASSOCIACAO DE  PAIS  AMIGOS E  MESTRES  DO COLEGIO  MILITAR  DE BELO HORIZONTE"</f>
        <v>ASSOCIACAO DE  PAIS  AMIGOS E  MESTRES  DO COLEGIO  MILITAR  DE BELO HORIZONTE</v>
      </c>
      <c r="C102" s="19">
        <v>45449</v>
      </c>
      <c r="D102" s="19" t="s">
        <v>357</v>
      </c>
      <c r="E102" s="17" t="s">
        <v>356</v>
      </c>
      <c r="F102" s="18" t="s">
        <v>356</v>
      </c>
      <c r="G102" s="17" t="s">
        <v>14</v>
      </c>
    </row>
    <row r="103" spans="1:7" x14ac:dyDescent="0.35">
      <c r="A103" s="15">
        <v>11568</v>
      </c>
      <c r="B103" s="16" t="str">
        <f>"CEMIG DISTRIBUICAO S A"</f>
        <v>CEMIG DISTRIBUICAO S A</v>
      </c>
      <c r="C103" s="19" t="s">
        <v>361</v>
      </c>
      <c r="D103" s="19" t="s">
        <v>362</v>
      </c>
      <c r="E103" s="17" t="s">
        <v>358</v>
      </c>
      <c r="F103" s="18" t="s">
        <v>359</v>
      </c>
      <c r="G103" s="17" t="s">
        <v>360</v>
      </c>
    </row>
    <row r="104" spans="1:7" x14ac:dyDescent="0.35">
      <c r="A104" s="15">
        <v>11587</v>
      </c>
      <c r="B104" s="16" t="str">
        <f>"CENTRO SALESIANO DO MENOR  CESAM"</f>
        <v>CENTRO SALESIANO DO MENOR  CESAM</v>
      </c>
      <c r="C104" s="19" t="s">
        <v>366</v>
      </c>
      <c r="D104" s="19" t="s">
        <v>357</v>
      </c>
      <c r="E104" s="17" t="s">
        <v>363</v>
      </c>
      <c r="F104" s="18" t="s">
        <v>364</v>
      </c>
      <c r="G104" s="17" t="s">
        <v>365</v>
      </c>
    </row>
    <row r="105" spans="1:7" x14ac:dyDescent="0.35">
      <c r="A105" s="15">
        <v>11588</v>
      </c>
      <c r="B105" s="16" t="str">
        <f>"FORT SECURE TECNOLOGIA LTDA"</f>
        <v>FORT SECURE TECNOLOGIA LTDA</v>
      </c>
      <c r="C105" s="19" t="s">
        <v>370</v>
      </c>
      <c r="D105" s="19" t="s">
        <v>371</v>
      </c>
      <c r="E105" s="17" t="s">
        <v>367</v>
      </c>
      <c r="F105" s="18" t="s">
        <v>368</v>
      </c>
      <c r="G105" s="17" t="s">
        <v>369</v>
      </c>
    </row>
    <row r="106" spans="1:7" x14ac:dyDescent="0.35">
      <c r="A106" s="15">
        <v>11593</v>
      </c>
      <c r="B106" s="16" t="str">
        <f>"ARARAUNA TURISMO ECOLOGICO LTDA"</f>
        <v>ARARAUNA TURISMO ECOLOGICO LTDA</v>
      </c>
      <c r="C106" s="19" t="s">
        <v>375</v>
      </c>
      <c r="D106" s="19" t="s">
        <v>376</v>
      </c>
      <c r="E106" s="17" t="s">
        <v>372</v>
      </c>
      <c r="F106" s="18" t="s">
        <v>373</v>
      </c>
      <c r="G106" s="17" t="s">
        <v>374</v>
      </c>
    </row>
    <row r="107" spans="1:7" x14ac:dyDescent="0.35">
      <c r="A107" s="15">
        <v>11594</v>
      </c>
      <c r="B107" s="16" t="str">
        <f>"LIGA DESPORTIVA DO ALTO RIO PARDO"</f>
        <v>LIGA DESPORTIVA DO ALTO RIO PARDO</v>
      </c>
      <c r="C107" s="19" t="s">
        <v>378</v>
      </c>
      <c r="D107" s="19" t="s">
        <v>379</v>
      </c>
      <c r="E107" s="17" t="s">
        <v>377</v>
      </c>
      <c r="F107" s="18" t="s">
        <v>377</v>
      </c>
      <c r="G107" s="17" t="s">
        <v>14</v>
      </c>
    </row>
    <row r="108" spans="1:7" x14ac:dyDescent="0.35">
      <c r="A108" s="15">
        <v>11635</v>
      </c>
      <c r="B108" s="16" t="str">
        <f>"OPEN TREINAMENTOS EMPRESARIAIS E EDITORA LTDA EPP"</f>
        <v>OPEN TREINAMENTOS EMPRESARIAIS E EDITORA LTDA EPP</v>
      </c>
      <c r="C108" s="19">
        <v>45542</v>
      </c>
      <c r="D108" s="19">
        <v>46972</v>
      </c>
      <c r="E108" s="17" t="s">
        <v>380</v>
      </c>
      <c r="F108" s="18" t="s">
        <v>381</v>
      </c>
      <c r="G108" s="17" t="s">
        <v>382</v>
      </c>
    </row>
    <row r="109" spans="1:7" x14ac:dyDescent="0.35">
      <c r="A109" s="15">
        <v>11636</v>
      </c>
      <c r="B109" s="16" t="str">
        <f>"AGNES AG SOLUCOES TECNOLOGICAS LTDA"</f>
        <v>AGNES AG SOLUCOES TECNOLOGICAS LTDA</v>
      </c>
      <c r="C109" s="19" t="s">
        <v>386</v>
      </c>
      <c r="D109" s="19" t="s">
        <v>387</v>
      </c>
      <c r="E109" s="17" t="s">
        <v>383</v>
      </c>
      <c r="F109" s="18" t="s">
        <v>384</v>
      </c>
      <c r="G109" s="17" t="s">
        <v>385</v>
      </c>
    </row>
    <row r="110" spans="1:7" x14ac:dyDescent="0.35">
      <c r="A110" s="15">
        <v>11641</v>
      </c>
      <c r="B110" s="16" t="str">
        <f>"PERFIX ASSESSORIA E CONSULTORIA LTDA"</f>
        <v>PERFIX ASSESSORIA E CONSULTORIA LTDA</v>
      </c>
      <c r="C110" s="19">
        <v>45603</v>
      </c>
      <c r="D110" s="19">
        <v>46722</v>
      </c>
      <c r="E110" s="17" t="s">
        <v>388</v>
      </c>
      <c r="F110" s="18" t="s">
        <v>389</v>
      </c>
      <c r="G110" s="17" t="s">
        <v>390</v>
      </c>
    </row>
    <row r="111" spans="1:7" x14ac:dyDescent="0.35">
      <c r="A111" s="15">
        <v>11646</v>
      </c>
      <c r="B111" s="16" t="str">
        <f>"CARMO E DELGADO GEOLOGOS CONSULT LTDA"</f>
        <v>CARMO E DELGADO GEOLOGOS CONSULT LTDA</v>
      </c>
      <c r="C111" s="19">
        <v>45572</v>
      </c>
      <c r="D111" s="19">
        <v>46304</v>
      </c>
      <c r="E111" s="17" t="s">
        <v>391</v>
      </c>
      <c r="F111" s="18" t="s">
        <v>392</v>
      </c>
      <c r="G111" s="17" t="s">
        <v>393</v>
      </c>
    </row>
    <row r="112" spans="1:7" x14ac:dyDescent="0.35">
      <c r="A112" s="15">
        <v>11647</v>
      </c>
      <c r="B112" s="16" t="str">
        <f>"PREFEITURA MUNICIPAL DE LAMBARI"</f>
        <v>PREFEITURA MUNICIPAL DE LAMBARI</v>
      </c>
      <c r="C112" s="19">
        <v>45633</v>
      </c>
      <c r="D112" s="19" t="s">
        <v>15</v>
      </c>
      <c r="E112" s="17" t="s">
        <v>394</v>
      </c>
      <c r="F112" s="18" t="s">
        <v>17</v>
      </c>
      <c r="G112" s="17" t="s">
        <v>394</v>
      </c>
    </row>
    <row r="113" spans="1:7" x14ac:dyDescent="0.35">
      <c r="A113" s="15">
        <v>11648</v>
      </c>
      <c r="B113" s="16" t="str">
        <f>"PREFEITURA MUNICIPAL DE RIBEIRAO DAS NEVES"</f>
        <v>PREFEITURA MUNICIPAL DE RIBEIRAO DAS NEVES</v>
      </c>
      <c r="C113" s="19" t="s">
        <v>396</v>
      </c>
      <c r="D113" s="19" t="s">
        <v>15</v>
      </c>
      <c r="E113" s="17" t="s">
        <v>395</v>
      </c>
      <c r="F113" s="18" t="s">
        <v>17</v>
      </c>
      <c r="G113" s="17" t="s">
        <v>395</v>
      </c>
    </row>
    <row r="114" spans="1:7" x14ac:dyDescent="0.35">
      <c r="A114" s="15">
        <v>11650</v>
      </c>
      <c r="B114" s="16" t="str">
        <f>"PREFEITURA MUNICIPAL DE CAMBUQUIRA"</f>
        <v>PREFEITURA MUNICIPAL DE CAMBUQUIRA</v>
      </c>
      <c r="C114" s="19">
        <v>45419</v>
      </c>
      <c r="D114" s="19" t="s">
        <v>15</v>
      </c>
      <c r="E114" s="17" t="s">
        <v>397</v>
      </c>
      <c r="F114" s="18" t="s">
        <v>17</v>
      </c>
      <c r="G114" s="17" t="s">
        <v>397</v>
      </c>
    </row>
    <row r="115" spans="1:7" x14ac:dyDescent="0.35">
      <c r="A115" s="15">
        <v>11655</v>
      </c>
      <c r="B115" s="16" t="str">
        <f>"LICITAR DIGITAL SERVICOS EM TECNOLOGIA DA INFORMACAO LTDA"</f>
        <v>LICITAR DIGITAL SERVICOS EM TECNOLOGIA DA INFORMACAO LTDA</v>
      </c>
      <c r="C115" s="19" t="s">
        <v>355</v>
      </c>
      <c r="D115" s="19" t="s">
        <v>401</v>
      </c>
      <c r="E115" s="17" t="s">
        <v>398</v>
      </c>
      <c r="F115" s="18" t="s">
        <v>399</v>
      </c>
      <c r="G115" s="17" t="s">
        <v>400</v>
      </c>
    </row>
    <row r="116" spans="1:7" x14ac:dyDescent="0.35">
      <c r="A116" s="15">
        <v>11659</v>
      </c>
      <c r="B116" s="16" t="str">
        <f>"CAUANNA  SERVICOS DE GRAFICA  RAPIDA  LTDA"</f>
        <v>CAUANNA  SERVICOS DE GRAFICA  RAPIDA  LTDA</v>
      </c>
      <c r="C116" s="19" t="s">
        <v>405</v>
      </c>
      <c r="D116" s="19" t="s">
        <v>406</v>
      </c>
      <c r="E116" s="17" t="s">
        <v>402</v>
      </c>
      <c r="F116" s="18" t="s">
        <v>403</v>
      </c>
      <c r="G116" s="17" t="s">
        <v>404</v>
      </c>
    </row>
    <row r="117" spans="1:7" x14ac:dyDescent="0.35">
      <c r="A117" s="15">
        <v>11665</v>
      </c>
      <c r="B117" s="16" t="str">
        <f>"PTV DO BRASIL  IMPORTACAO  LICENCAS  E  SUPORTE   DE SOFTWARE  LTDA"</f>
        <v>PTV DO BRASIL  IMPORTACAO  LICENCAS  E  SUPORTE   DE SOFTWARE  LTDA</v>
      </c>
      <c r="C117" s="19" t="s">
        <v>409</v>
      </c>
      <c r="D117" s="19" t="s">
        <v>410</v>
      </c>
      <c r="E117" s="17" t="s">
        <v>408</v>
      </c>
      <c r="F117" s="18" t="s">
        <v>408</v>
      </c>
      <c r="G117" s="17" t="s">
        <v>14</v>
      </c>
    </row>
    <row r="118" spans="1:7" x14ac:dyDescent="0.35">
      <c r="A118" s="15">
        <v>11669</v>
      </c>
      <c r="B118" s="16" t="str">
        <f>"EDITORA NEGOCIOS PUBLICOS DO BRASIL EIRELI"</f>
        <v>EDITORA NEGOCIOS PUBLICOS DO BRASIL EIRELI</v>
      </c>
      <c r="C118" s="19">
        <v>45360</v>
      </c>
      <c r="D118" s="19">
        <v>46090</v>
      </c>
      <c r="E118" s="17" t="s">
        <v>411</v>
      </c>
      <c r="F118" s="18" t="s">
        <v>411</v>
      </c>
      <c r="G118" s="17" t="s">
        <v>14</v>
      </c>
    </row>
    <row r="119" spans="1:7" x14ac:dyDescent="0.35">
      <c r="A119" s="15">
        <v>11672</v>
      </c>
      <c r="B119" s="16" t="str">
        <f>"NACIONAL GAS  BUTANO DISTRIBUIODORA  LTDA"</f>
        <v>NACIONAL GAS  BUTANO DISTRIBUIODORA  LTDA</v>
      </c>
      <c r="C119" s="19">
        <v>45605</v>
      </c>
      <c r="D119" s="19">
        <v>46335</v>
      </c>
      <c r="E119" s="17" t="s">
        <v>412</v>
      </c>
      <c r="F119" s="18" t="s">
        <v>413</v>
      </c>
      <c r="G119" s="17" t="s">
        <v>414</v>
      </c>
    </row>
    <row r="120" spans="1:7" x14ac:dyDescent="0.35">
      <c r="A120" s="15">
        <v>11686</v>
      </c>
      <c r="B120" s="16" t="str">
        <f>"GGB CLINICA  E ENGENHARIA LTDA"</f>
        <v>GGB CLINICA  E ENGENHARIA LTDA</v>
      </c>
      <c r="C120" s="19">
        <v>45301</v>
      </c>
      <c r="D120" s="19">
        <v>46397</v>
      </c>
      <c r="E120" s="17" t="s">
        <v>415</v>
      </c>
      <c r="F120" s="18" t="s">
        <v>416</v>
      </c>
      <c r="G120" s="17" t="s">
        <v>417</v>
      </c>
    </row>
    <row r="121" spans="1:7" x14ac:dyDescent="0.35">
      <c r="A121" s="15">
        <v>11690</v>
      </c>
      <c r="B121" s="16" t="str">
        <f>"SOFTEXPERT SOFTWARE SA"</f>
        <v>SOFTEXPERT SOFTWARE SA</v>
      </c>
      <c r="C121" s="19">
        <v>45606</v>
      </c>
      <c r="D121" s="19">
        <v>47401</v>
      </c>
      <c r="E121" s="17" t="s">
        <v>418</v>
      </c>
      <c r="F121" s="18" t="s">
        <v>419</v>
      </c>
      <c r="G121" s="17" t="s">
        <v>420</v>
      </c>
    </row>
    <row r="122" spans="1:7" x14ac:dyDescent="0.35">
      <c r="A122" s="15">
        <v>11694</v>
      </c>
      <c r="B122" s="16" t="str">
        <f>"GRI BRAZIL EVENTOS LTDA"</f>
        <v>GRI BRAZIL EVENTOS LTDA</v>
      </c>
      <c r="C122" s="19">
        <v>45606</v>
      </c>
      <c r="D122" s="19">
        <v>46336</v>
      </c>
      <c r="E122" s="17" t="s">
        <v>421</v>
      </c>
      <c r="F122" s="18" t="s">
        <v>422</v>
      </c>
      <c r="G122" s="17" t="s">
        <v>423</v>
      </c>
    </row>
    <row r="123" spans="1:7" x14ac:dyDescent="0.35">
      <c r="A123" s="15">
        <v>11698</v>
      </c>
      <c r="B123" s="16" t="str">
        <f>"PRAXIS SISTEMAS DE INFORMATICA LTDA ME"</f>
        <v>PRAXIS SISTEMAS DE INFORMATICA LTDA ME</v>
      </c>
      <c r="C123" s="19" t="s">
        <v>427</v>
      </c>
      <c r="D123" s="19" t="s">
        <v>428</v>
      </c>
      <c r="E123" s="17" t="s">
        <v>424</v>
      </c>
      <c r="F123" s="18" t="s">
        <v>425</v>
      </c>
      <c r="G123" s="17" t="s">
        <v>426</v>
      </c>
    </row>
    <row r="124" spans="1:7" x14ac:dyDescent="0.35">
      <c r="A124" s="15">
        <v>11702</v>
      </c>
      <c r="B124" s="16" t="str">
        <f>"PRODEMGE  CIA DE TECNOL DA INFORMACAO DE MG"</f>
        <v>PRODEMGE  CIA DE TECNOL DA INFORMACAO DE MG</v>
      </c>
      <c r="C124" s="19" t="s">
        <v>432</v>
      </c>
      <c r="D124" s="19" t="s">
        <v>433</v>
      </c>
      <c r="E124" s="17" t="s">
        <v>429</v>
      </c>
      <c r="F124" s="18" t="s">
        <v>430</v>
      </c>
      <c r="G124" s="17" t="s">
        <v>431</v>
      </c>
    </row>
    <row r="125" spans="1:7" x14ac:dyDescent="0.35">
      <c r="A125" s="15">
        <v>11704</v>
      </c>
      <c r="B125" s="16" t="str">
        <f>"CLICK TI TECNOLOGIA LTDA"</f>
        <v>CLICK TI TECNOLOGIA LTDA</v>
      </c>
      <c r="C125" s="19" t="s">
        <v>435</v>
      </c>
      <c r="D125" s="19" t="s">
        <v>436</v>
      </c>
      <c r="E125" s="17" t="s">
        <v>434</v>
      </c>
      <c r="F125" s="18" t="s">
        <v>434</v>
      </c>
      <c r="G125" s="17" t="s">
        <v>14</v>
      </c>
    </row>
    <row r="126" spans="1:7" x14ac:dyDescent="0.35">
      <c r="A126" s="15">
        <v>11706</v>
      </c>
      <c r="B126" s="16" t="str">
        <f>"AGENES S  DA SILVA SUPRIMENTOS DE INFORMATICA   ME"</f>
        <v>AGENES S  DA SILVA SUPRIMENTOS DE INFORMATICA   ME</v>
      </c>
      <c r="C126" s="19">
        <v>45393</v>
      </c>
      <c r="D126" s="19">
        <v>46123</v>
      </c>
      <c r="E126" s="17" t="s">
        <v>437</v>
      </c>
      <c r="F126" s="18" t="s">
        <v>437</v>
      </c>
      <c r="G126" s="17" t="s">
        <v>14</v>
      </c>
    </row>
    <row r="127" spans="1:7" x14ac:dyDescent="0.35">
      <c r="A127" s="15">
        <v>11707</v>
      </c>
      <c r="B127" s="16" t="str">
        <f>"OLIVEIRA ANDRADE SERVICOS DE MONITORAMENTO DE INFORMACOES LTDA"</f>
        <v>OLIVEIRA ANDRADE SERVICOS DE MONITORAMENTO DE INFORMACOES LTDA</v>
      </c>
      <c r="C127" s="19">
        <v>45454</v>
      </c>
      <c r="D127" s="19">
        <v>46518</v>
      </c>
      <c r="E127" s="17" t="s">
        <v>438</v>
      </c>
      <c r="F127" s="18" t="s">
        <v>439</v>
      </c>
      <c r="G127" s="17" t="s">
        <v>440</v>
      </c>
    </row>
    <row r="128" spans="1:7" x14ac:dyDescent="0.35">
      <c r="A128" s="15">
        <v>11710</v>
      </c>
      <c r="B128" s="16" t="str">
        <f>"COOPERATIVA DE RADIO COMUNICACAO DE  BELO  HORIZONTE"</f>
        <v>COOPERATIVA DE RADIO COMUNICACAO DE  BELO  HORIZONTE</v>
      </c>
      <c r="C128" s="19">
        <v>45454</v>
      </c>
      <c r="D128" s="19" t="s">
        <v>444</v>
      </c>
      <c r="E128" s="17" t="s">
        <v>441</v>
      </c>
      <c r="F128" s="18" t="s">
        <v>442</v>
      </c>
      <c r="G128" s="17" t="s">
        <v>443</v>
      </c>
    </row>
    <row r="129" spans="1:7" x14ac:dyDescent="0.35">
      <c r="A129" s="15">
        <v>11718</v>
      </c>
      <c r="B129" s="16" t="str">
        <f>"CEMIG DISTRIBUICAO S A"</f>
        <v>CEMIG DISTRIBUICAO S A</v>
      </c>
      <c r="C129" s="19">
        <v>45607</v>
      </c>
      <c r="D129" s="19">
        <v>46337</v>
      </c>
      <c r="E129" s="17" t="s">
        <v>445</v>
      </c>
      <c r="F129" s="18" t="s">
        <v>446</v>
      </c>
      <c r="G129" s="17" t="s">
        <v>447</v>
      </c>
    </row>
    <row r="130" spans="1:7" x14ac:dyDescent="0.35">
      <c r="A130" s="15">
        <v>11725</v>
      </c>
      <c r="B130" s="16" t="str">
        <f>"UNIMED SEGURADORA S A"</f>
        <v>UNIMED SEGURADORA S A</v>
      </c>
      <c r="C130" s="19">
        <v>45394</v>
      </c>
      <c r="D130" s="19">
        <v>46388</v>
      </c>
      <c r="E130" s="17" t="s">
        <v>448</v>
      </c>
      <c r="F130" s="18" t="s">
        <v>449</v>
      </c>
      <c r="G130" s="17" t="s">
        <v>450</v>
      </c>
    </row>
    <row r="131" spans="1:7" x14ac:dyDescent="0.35">
      <c r="A131" s="15">
        <v>11726</v>
      </c>
      <c r="B131" s="16" t="str">
        <f>"UNIMED SEGURADORA S A"</f>
        <v>UNIMED SEGURADORA S A</v>
      </c>
      <c r="C131" s="19">
        <v>45394</v>
      </c>
      <c r="D131" s="19">
        <v>46399</v>
      </c>
      <c r="E131" s="17" t="s">
        <v>451</v>
      </c>
      <c r="F131" s="18" t="s">
        <v>452</v>
      </c>
      <c r="G131" s="17" t="s">
        <v>453</v>
      </c>
    </row>
    <row r="132" spans="1:7" x14ac:dyDescent="0.35">
      <c r="A132" s="15">
        <v>11727</v>
      </c>
      <c r="B132" s="16" t="str">
        <f>"MS SEGURANCA  ELETRONICA LTDA"</f>
        <v>MS SEGURANCA  ELETRONICA LTDA</v>
      </c>
      <c r="C132" s="19">
        <v>45455</v>
      </c>
      <c r="D132" s="19">
        <v>46185</v>
      </c>
      <c r="E132" s="17" t="s">
        <v>454</v>
      </c>
      <c r="F132" s="18" t="s">
        <v>455</v>
      </c>
      <c r="G132" s="17" t="s">
        <v>456</v>
      </c>
    </row>
    <row r="133" spans="1:7" x14ac:dyDescent="0.35">
      <c r="A133" s="15">
        <v>11728</v>
      </c>
      <c r="B133" s="16" t="str">
        <f>"SELBETTI GESTAO DE DOCUMENTOS S A"</f>
        <v>SELBETTI GESTAO DE DOCUMENTOS S A</v>
      </c>
      <c r="C133" s="19" t="s">
        <v>460</v>
      </c>
      <c r="D133" s="19" t="s">
        <v>461</v>
      </c>
      <c r="E133" s="17" t="s">
        <v>457</v>
      </c>
      <c r="F133" s="18" t="s">
        <v>458</v>
      </c>
      <c r="G133" s="17" t="s">
        <v>459</v>
      </c>
    </row>
    <row r="134" spans="1:7" x14ac:dyDescent="0.35">
      <c r="A134" s="15">
        <v>11732</v>
      </c>
      <c r="B134" s="16" t="str">
        <f>"TELEFONICA BRASIL SA"</f>
        <v>TELEFONICA BRASIL SA</v>
      </c>
      <c r="C134" s="19" t="s">
        <v>465</v>
      </c>
      <c r="D134" s="19" t="s">
        <v>466</v>
      </c>
      <c r="E134" s="17" t="s">
        <v>462</v>
      </c>
      <c r="F134" s="18" t="s">
        <v>463</v>
      </c>
      <c r="G134" s="17" t="s">
        <v>464</v>
      </c>
    </row>
    <row r="135" spans="1:7" x14ac:dyDescent="0.35">
      <c r="A135" s="15">
        <v>11744</v>
      </c>
      <c r="B135" s="16" t="str">
        <f>"SECRETARIA DE ESTADO DE AGRICULTURA PECUARIA E ABASTECIMENTO"</f>
        <v>SECRETARIA DE ESTADO DE AGRICULTURA PECUARIA E ABASTECIMENTO</v>
      </c>
      <c r="C135" s="19" t="s">
        <v>470</v>
      </c>
      <c r="D135" s="19" t="s">
        <v>149</v>
      </c>
      <c r="E135" s="17" t="s">
        <v>467</v>
      </c>
      <c r="F135" s="18" t="s">
        <v>468</v>
      </c>
      <c r="G135" s="17" t="s">
        <v>469</v>
      </c>
    </row>
    <row r="136" spans="1:7" x14ac:dyDescent="0.35">
      <c r="A136" s="15">
        <v>11746</v>
      </c>
      <c r="B136" s="16" t="str">
        <f>"DATACOP COMERCIO E SERVICOS DE MICROFILMAGEM LTDA  EPP"</f>
        <v>DATACOP COMERCIO E SERVICOS DE MICROFILMAGEM LTDA  EPP</v>
      </c>
      <c r="C136" s="19">
        <v>45809</v>
      </c>
      <c r="D136" s="19">
        <v>47635</v>
      </c>
      <c r="E136" s="17" t="s">
        <v>471</v>
      </c>
      <c r="F136" s="18" t="s">
        <v>472</v>
      </c>
      <c r="G136" s="17" t="s">
        <v>473</v>
      </c>
    </row>
    <row r="137" spans="1:7" x14ac:dyDescent="0.35">
      <c r="A137" s="15">
        <v>11751</v>
      </c>
      <c r="B137" s="16" t="str">
        <f>"TOTVS SA"</f>
        <v>TOTVS SA</v>
      </c>
      <c r="C137" s="19">
        <v>45717</v>
      </c>
      <c r="D137" s="19">
        <v>47543</v>
      </c>
      <c r="E137" s="17" t="s">
        <v>474</v>
      </c>
      <c r="F137" s="18" t="s">
        <v>475</v>
      </c>
      <c r="G137" s="17" t="s">
        <v>476</v>
      </c>
    </row>
    <row r="138" spans="1:7" x14ac:dyDescent="0.35">
      <c r="A138" s="15">
        <v>11757</v>
      </c>
      <c r="B138" s="16" t="str">
        <f>"LAVANDERIA MORRO CHIC LTDA"</f>
        <v>LAVANDERIA MORRO CHIC LTDA</v>
      </c>
      <c r="C138" s="19" t="s">
        <v>480</v>
      </c>
      <c r="D138" s="19" t="s">
        <v>481</v>
      </c>
      <c r="E138" s="17" t="s">
        <v>477</v>
      </c>
      <c r="F138" s="18" t="s">
        <v>478</v>
      </c>
      <c r="G138" s="17" t="s">
        <v>479</v>
      </c>
    </row>
    <row r="139" spans="1:7" x14ac:dyDescent="0.35">
      <c r="A139" s="15">
        <v>11759</v>
      </c>
      <c r="B139" s="16" t="str">
        <f>"PREFEITURA MUNICIPAL DE CONTAGEM"</f>
        <v>PREFEITURA MUNICIPAL DE CONTAGEM</v>
      </c>
      <c r="C139" s="19">
        <v>45840</v>
      </c>
      <c r="D139" s="19">
        <v>46938</v>
      </c>
      <c r="E139" s="17" t="s">
        <v>482</v>
      </c>
      <c r="F139" s="18" t="s">
        <v>483</v>
      </c>
      <c r="G139" s="17" t="s">
        <v>484</v>
      </c>
    </row>
    <row r="140" spans="1:7" x14ac:dyDescent="0.35">
      <c r="A140" s="15">
        <v>11764</v>
      </c>
      <c r="B140" s="16" t="str">
        <f>"INSTITUTO BRASILEIRO DE GOVERNANCA CORPORATIVA"</f>
        <v>INSTITUTO BRASILEIRO DE GOVERNANCA CORPORATIVA</v>
      </c>
      <c r="C140" s="19" t="s">
        <v>486</v>
      </c>
      <c r="D140" s="19" t="s">
        <v>487</v>
      </c>
      <c r="E140" s="17" t="s">
        <v>485</v>
      </c>
      <c r="F140" s="18" t="s">
        <v>17</v>
      </c>
      <c r="G140" s="17" t="s">
        <v>485</v>
      </c>
    </row>
    <row r="141" spans="1:7" x14ac:dyDescent="0.35">
      <c r="A141" s="15">
        <v>11768</v>
      </c>
      <c r="B141" s="16" t="str">
        <f>"SOCIEDADE MINEIRA DE CULTURA"</f>
        <v>SOCIEDADE MINEIRA DE CULTURA</v>
      </c>
      <c r="C141" s="19" t="s">
        <v>490</v>
      </c>
      <c r="D141" s="19" t="s">
        <v>491</v>
      </c>
      <c r="E141" s="17" t="s">
        <v>488</v>
      </c>
      <c r="F141" s="18" t="s">
        <v>489</v>
      </c>
      <c r="G141" s="17" t="s">
        <v>16</v>
      </c>
    </row>
    <row r="142" spans="1:7" x14ac:dyDescent="0.35">
      <c r="A142" s="15">
        <v>11771</v>
      </c>
      <c r="B142" s="16" t="str">
        <f>"GRENA ARQUITETURA E URBANISMO LTDA"</f>
        <v>GRENA ARQUITETURA E URBANISMO LTDA</v>
      </c>
      <c r="C142" s="19" t="s">
        <v>495</v>
      </c>
      <c r="D142" s="19" t="s">
        <v>496</v>
      </c>
      <c r="E142" s="17" t="s">
        <v>492</v>
      </c>
      <c r="F142" s="18" t="s">
        <v>493</v>
      </c>
      <c r="G142" s="17" t="s">
        <v>494</v>
      </c>
    </row>
    <row r="143" spans="1:7" x14ac:dyDescent="0.35">
      <c r="A143" s="15">
        <v>11772</v>
      </c>
      <c r="B143" s="16" t="str">
        <f>"DME DISTRIBUICAO SA  DMED"</f>
        <v>DME DISTRIBUICAO SA  DMED</v>
      </c>
      <c r="C143" s="19">
        <v>45994</v>
      </c>
      <c r="D143" s="19">
        <v>46724</v>
      </c>
      <c r="E143" s="17" t="s">
        <v>497</v>
      </c>
      <c r="F143" s="18" t="s">
        <v>498</v>
      </c>
      <c r="G143" s="17" t="s">
        <v>499</v>
      </c>
    </row>
    <row r="144" spans="1:7" x14ac:dyDescent="0.35">
      <c r="A144" s="15">
        <v>11773</v>
      </c>
      <c r="B144" s="16" t="str">
        <f>"GRID  ENERGIA SERVICOS E SOLUCOES LTDA"</f>
        <v>GRID  ENERGIA SERVICOS E SOLUCOES LTDA</v>
      </c>
      <c r="C144" s="19">
        <v>45841</v>
      </c>
      <c r="D144" s="19" t="s">
        <v>503</v>
      </c>
      <c r="E144" s="17" t="s">
        <v>500</v>
      </c>
      <c r="F144" s="18" t="s">
        <v>501</v>
      </c>
      <c r="G144" s="17" t="s">
        <v>502</v>
      </c>
    </row>
    <row r="145" spans="1:7" x14ac:dyDescent="0.35">
      <c r="A145" s="15">
        <v>11779</v>
      </c>
      <c r="B145" s="16" t="str">
        <f>"SECRETARIA DE ESTADO DE CULTURA"</f>
        <v>SECRETARIA DE ESTADO DE CULTURA</v>
      </c>
      <c r="C145" s="19" t="s">
        <v>507</v>
      </c>
      <c r="D145" s="19" t="s">
        <v>40</v>
      </c>
      <c r="E145" s="17" t="s">
        <v>504</v>
      </c>
      <c r="F145" s="18" t="s">
        <v>505</v>
      </c>
      <c r="G145" s="17" t="s">
        <v>506</v>
      </c>
    </row>
    <row r="146" spans="1:7" x14ac:dyDescent="0.35">
      <c r="A146" s="15">
        <v>11787</v>
      </c>
      <c r="B146" s="16" t="str">
        <f>"CHUBB SEGUROS BRASIL S A"</f>
        <v>CHUBB SEGUROS BRASIL S A</v>
      </c>
      <c r="C146" s="19">
        <v>45813</v>
      </c>
      <c r="D146" s="19">
        <v>46543</v>
      </c>
      <c r="E146" s="17" t="s">
        <v>508</v>
      </c>
      <c r="F146" s="18" t="s">
        <v>509</v>
      </c>
      <c r="G146" s="17" t="s">
        <v>509</v>
      </c>
    </row>
    <row r="147" spans="1:7" x14ac:dyDescent="0.35">
      <c r="A147" s="15">
        <v>11788</v>
      </c>
      <c r="B147" s="16" t="str">
        <f>"BVIX SEGURADORA SA"</f>
        <v>BVIX SEGURADORA SA</v>
      </c>
      <c r="C147" s="19" t="s">
        <v>513</v>
      </c>
      <c r="D147" s="19" t="s">
        <v>514</v>
      </c>
      <c r="E147" s="17" t="s">
        <v>510</v>
      </c>
      <c r="F147" s="18" t="s">
        <v>511</v>
      </c>
      <c r="G147" s="17" t="s">
        <v>512</v>
      </c>
    </row>
    <row r="148" spans="1:7" x14ac:dyDescent="0.35">
      <c r="A148" s="15">
        <v>11789</v>
      </c>
      <c r="B148" s="16" t="str">
        <f>"ASSOCIACAO  DOS AMIGOS DO CENTRO CULTURAL BELO  HORIZONTE"</f>
        <v>ASSOCIACAO  DOS AMIGOS DO CENTRO CULTURAL BELO  HORIZONTE</v>
      </c>
      <c r="C148" s="19" t="s">
        <v>518</v>
      </c>
      <c r="D148" s="19" t="s">
        <v>519</v>
      </c>
      <c r="E148" s="17" t="s">
        <v>515</v>
      </c>
      <c r="F148" s="18" t="s">
        <v>516</v>
      </c>
      <c r="G148" s="17" t="s">
        <v>517</v>
      </c>
    </row>
    <row r="149" spans="1:7" x14ac:dyDescent="0.35">
      <c r="A149" s="15">
        <v>11795</v>
      </c>
      <c r="B149" s="16" t="str">
        <f>"GOLDMAN SACHS DO BRASIL BANCO MULTIPLO SA"</f>
        <v>GOLDMAN SACHS DO BRASIL BANCO MULTIPLO SA</v>
      </c>
      <c r="C149" s="19">
        <v>45996</v>
      </c>
      <c r="D149" s="19" t="s">
        <v>40</v>
      </c>
      <c r="E149" s="17" t="s">
        <v>520</v>
      </c>
      <c r="F149" s="18" t="s">
        <v>521</v>
      </c>
      <c r="G149" s="17" t="s">
        <v>522</v>
      </c>
    </row>
    <row r="150" spans="1:7" x14ac:dyDescent="0.35">
      <c r="A150" s="15">
        <v>11805</v>
      </c>
      <c r="B150" s="16" t="str">
        <f>"TOLENTINO ADVOGADOS"</f>
        <v>TOLENTINO ADVOGADOS</v>
      </c>
      <c r="C150" s="19" t="s">
        <v>526</v>
      </c>
      <c r="D150" s="19" t="s">
        <v>40</v>
      </c>
      <c r="E150" s="17" t="s">
        <v>523</v>
      </c>
      <c r="F150" s="18" t="s">
        <v>524</v>
      </c>
      <c r="G150" s="17" t="s">
        <v>525</v>
      </c>
    </row>
    <row r="151" spans="1:7" x14ac:dyDescent="0.35">
      <c r="A151" s="15">
        <v>11806</v>
      </c>
      <c r="B151" s="16" t="str">
        <f>"LICITAPRO CONSULTORIA EM LICITACOES E GESTAO DE CONTRATOS UNIPESSOAL LTDA"</f>
        <v>LICITAPRO CONSULTORIA EM LICITACOES E GESTAO DE CONTRATOS UNIPESSOAL LTDA</v>
      </c>
      <c r="C151" s="19" t="s">
        <v>528</v>
      </c>
      <c r="D151" s="19" t="s">
        <v>529</v>
      </c>
      <c r="E151" s="17" t="s">
        <v>527</v>
      </c>
      <c r="F151" s="18" t="s">
        <v>17</v>
      </c>
      <c r="G151" s="17" t="s">
        <v>527</v>
      </c>
    </row>
    <row r="152" spans="1:7" x14ac:dyDescent="0.35">
      <c r="A152" s="15">
        <v>11808</v>
      </c>
      <c r="B152" s="16" t="str">
        <f>"CONFEDERACAO BRASILEIRA DO DESPORTO ESCOLAR"</f>
        <v>CONFEDERACAO BRASILEIRA DO DESPORTO ESCOLAR</v>
      </c>
      <c r="C152" s="19" t="s">
        <v>531</v>
      </c>
      <c r="D152" s="19" t="s">
        <v>308</v>
      </c>
      <c r="E152" s="17" t="s">
        <v>530</v>
      </c>
      <c r="F152" s="18" t="s">
        <v>530</v>
      </c>
      <c r="G152" s="17" t="s">
        <v>14</v>
      </c>
    </row>
    <row r="153" spans="1:7" x14ac:dyDescent="0.35">
      <c r="A153" s="15">
        <v>11815</v>
      </c>
      <c r="B153" s="16" t="str">
        <f>"PRICEWATERHOUSECOOPERS AUDITORES INDEPENDENTES"</f>
        <v>PRICEWATERHOUSECOOPERS AUDITORES INDEPENDENTES</v>
      </c>
      <c r="C153" s="19" t="s">
        <v>535</v>
      </c>
      <c r="D153" s="19" t="s">
        <v>536</v>
      </c>
      <c r="E153" s="17" t="s">
        <v>532</v>
      </c>
      <c r="F153" s="18" t="s">
        <v>533</v>
      </c>
      <c r="G153" s="17" t="s">
        <v>534</v>
      </c>
    </row>
    <row r="154" spans="1:7" x14ac:dyDescent="0.35">
      <c r="A154" s="15">
        <v>11816</v>
      </c>
      <c r="B154" s="16" t="str">
        <f>"SANITOP COMERCIAL LTDA"</f>
        <v>SANITOP COMERCIAL LTDA</v>
      </c>
      <c r="C154" s="19" t="s">
        <v>540</v>
      </c>
      <c r="D154" s="19" t="s">
        <v>541</v>
      </c>
      <c r="E154" s="17" t="s">
        <v>537</v>
      </c>
      <c r="F154" s="18" t="s">
        <v>538</v>
      </c>
      <c r="G154" s="17" t="s">
        <v>539</v>
      </c>
    </row>
    <row r="155" spans="1:7" x14ac:dyDescent="0.35">
      <c r="A155" s="15">
        <v>11817</v>
      </c>
      <c r="B155" s="16" t="str">
        <f>"AUSTRAL SEGURADORA S A"</f>
        <v>AUSTRAL SEGURADORA S A</v>
      </c>
      <c r="C155" s="19" t="s">
        <v>544</v>
      </c>
      <c r="D155" s="19" t="s">
        <v>545</v>
      </c>
      <c r="E155" s="17" t="s">
        <v>542</v>
      </c>
      <c r="F155" s="18" t="s">
        <v>543</v>
      </c>
      <c r="G155" s="17" t="s">
        <v>543</v>
      </c>
    </row>
    <row r="156" spans="1:7" x14ac:dyDescent="0.35">
      <c r="A156" s="15">
        <v>11820</v>
      </c>
      <c r="B156" s="16" t="str">
        <f>"ATLAS GOVERNANCE TECNOLOGIA LTDA"</f>
        <v>ATLAS GOVERNANCE TECNOLOGIA LTDA</v>
      </c>
      <c r="C156" s="19" t="s">
        <v>535</v>
      </c>
      <c r="D156" s="19" t="s">
        <v>549</v>
      </c>
      <c r="E156" s="17" t="s">
        <v>546</v>
      </c>
      <c r="F156" s="18" t="s">
        <v>547</v>
      </c>
      <c r="G156" s="17" t="s">
        <v>548</v>
      </c>
    </row>
    <row r="157" spans="1:7" x14ac:dyDescent="0.35">
      <c r="A157" s="15">
        <v>11821</v>
      </c>
      <c r="B157" s="16" t="str">
        <f>"90 TECNOLOGIA DA INFORMACAO LTDA"</f>
        <v>90 TECNOLOGIA DA INFORMACAO LTDA</v>
      </c>
      <c r="C157" s="19" t="s">
        <v>551</v>
      </c>
      <c r="D157" s="19" t="s">
        <v>545</v>
      </c>
      <c r="E157" s="17" t="s">
        <v>550</v>
      </c>
      <c r="F157" s="18" t="s">
        <v>550</v>
      </c>
      <c r="G157" s="17" t="s">
        <v>14</v>
      </c>
    </row>
    <row r="158" spans="1:7" x14ac:dyDescent="0.35">
      <c r="A158" s="15">
        <v>11822</v>
      </c>
      <c r="B158" s="16" t="str">
        <f>"90 TECNOLOGIA DA INFORMACAO LTDA"</f>
        <v>90 TECNOLOGIA DA INFORMACAO LTDA</v>
      </c>
      <c r="C158" s="19" t="s">
        <v>551</v>
      </c>
      <c r="D158" s="19" t="s">
        <v>545</v>
      </c>
      <c r="E158" s="17" t="s">
        <v>552</v>
      </c>
      <c r="F158" s="18" t="s">
        <v>552</v>
      </c>
      <c r="G158" s="17" t="s">
        <v>14</v>
      </c>
    </row>
    <row r="159" spans="1:7" x14ac:dyDescent="0.35">
      <c r="A159" s="15">
        <v>11829</v>
      </c>
      <c r="B159" s="16" t="str">
        <f>"FUNDACAO INSTITUTO DE PESQUISAS ECONOMICAS FIPE"</f>
        <v>FUNDACAO INSTITUTO DE PESQUISAS ECONOMICAS FIPE</v>
      </c>
      <c r="C159" s="19">
        <v>45723</v>
      </c>
      <c r="D159" s="19">
        <v>46092</v>
      </c>
      <c r="E159" s="17" t="s">
        <v>554</v>
      </c>
      <c r="F159" s="18" t="s">
        <v>555</v>
      </c>
      <c r="G159" s="17" t="s">
        <v>556</v>
      </c>
    </row>
    <row r="160" spans="1:7" x14ac:dyDescent="0.35">
      <c r="A160" s="15">
        <v>11835</v>
      </c>
      <c r="B160" s="16" t="str">
        <f>"JOSE ARTHUR ROCHA ARAUJO  ME"</f>
        <v>JOSE ARTHUR ROCHA ARAUJO  ME</v>
      </c>
      <c r="C160" s="19">
        <v>45452</v>
      </c>
      <c r="D160" s="19">
        <v>46182</v>
      </c>
      <c r="E160" s="17" t="s">
        <v>557</v>
      </c>
      <c r="F160" s="18" t="s">
        <v>17</v>
      </c>
      <c r="G160" s="17" t="s">
        <v>557</v>
      </c>
    </row>
    <row r="161" spans="1:7" x14ac:dyDescent="0.35">
      <c r="A161" s="15">
        <v>11839</v>
      </c>
      <c r="B161" s="16" t="str">
        <f>"AGROMINAS COMERCIO DE PLANTAS LTDA"</f>
        <v>AGROMINAS COMERCIO DE PLANTAS LTDA</v>
      </c>
      <c r="C161" s="19" t="s">
        <v>559</v>
      </c>
      <c r="D161" s="19" t="s">
        <v>560</v>
      </c>
      <c r="E161" s="17" t="s">
        <v>558</v>
      </c>
      <c r="F161" s="18" t="s">
        <v>17</v>
      </c>
      <c r="G161" s="17" t="s">
        <v>558</v>
      </c>
    </row>
    <row r="162" spans="1:7" x14ac:dyDescent="0.35">
      <c r="A162" s="15">
        <v>11842</v>
      </c>
      <c r="B162" s="16" t="str">
        <f>"B3 S A   BRASIL BOLSA BALCAO"</f>
        <v>B3 S A   BRASIL BOLSA BALCAO</v>
      </c>
      <c r="C162" s="19">
        <v>45969</v>
      </c>
      <c r="D162" s="19">
        <v>47795</v>
      </c>
      <c r="E162" s="17" t="s">
        <v>561</v>
      </c>
      <c r="F162" s="18" t="s">
        <v>562</v>
      </c>
      <c r="G162" s="17" t="s">
        <v>563</v>
      </c>
    </row>
    <row r="163" spans="1:7" x14ac:dyDescent="0.35">
      <c r="A163" s="15">
        <v>11849</v>
      </c>
      <c r="B163" s="16" t="str">
        <f>"CH DEDETIZADORA LTDA"</f>
        <v>CH DEDETIZADORA LTDA</v>
      </c>
      <c r="C163" s="19">
        <v>45877</v>
      </c>
      <c r="D163" s="19">
        <v>46242</v>
      </c>
      <c r="E163" s="17" t="s">
        <v>564</v>
      </c>
      <c r="F163" s="18" t="s">
        <v>564</v>
      </c>
      <c r="G163" s="17" t="s">
        <v>14</v>
      </c>
    </row>
    <row r="164" spans="1:7" x14ac:dyDescent="0.35">
      <c r="A164" s="15">
        <v>11853</v>
      </c>
      <c r="B164" s="16" t="str">
        <f>"INTERACT SOLUTIONS LTDA"</f>
        <v>INTERACT SOLUTIONS LTDA</v>
      </c>
      <c r="C164" s="19" t="s">
        <v>568</v>
      </c>
      <c r="D164" s="19" t="s">
        <v>569</v>
      </c>
      <c r="E164" s="17" t="s">
        <v>565</v>
      </c>
      <c r="F164" s="18" t="s">
        <v>566</v>
      </c>
      <c r="G164" s="17" t="s">
        <v>567</v>
      </c>
    </row>
    <row r="165" spans="1:7" x14ac:dyDescent="0.35">
      <c r="A165" s="15">
        <v>11855</v>
      </c>
      <c r="B165" s="16" t="str">
        <f>"PRODEMGE  CIA DE TECNOL DA INFORMACAO DE MG"</f>
        <v>PRODEMGE  CIA DE TECNOL DA INFORMACAO DE MG</v>
      </c>
      <c r="C165" s="19" t="s">
        <v>573</v>
      </c>
      <c r="D165" s="19" t="s">
        <v>574</v>
      </c>
      <c r="E165" s="17" t="s">
        <v>570</v>
      </c>
      <c r="F165" s="18" t="s">
        <v>571</v>
      </c>
      <c r="G165" s="17" t="s">
        <v>572</v>
      </c>
    </row>
    <row r="166" spans="1:7" x14ac:dyDescent="0.35">
      <c r="A166" s="15">
        <v>11859</v>
      </c>
      <c r="B166" s="16" t="str">
        <f>"INSTITUTO REDE BRASIL DO PACTO GLOBAL"</f>
        <v>INSTITUTO REDE BRASIL DO PACTO GLOBAL</v>
      </c>
      <c r="C166" s="19">
        <v>45994</v>
      </c>
      <c r="D166" s="19">
        <v>46724</v>
      </c>
      <c r="E166" s="17" t="s">
        <v>575</v>
      </c>
      <c r="F166" s="18" t="s">
        <v>17</v>
      </c>
      <c r="G166" s="17" t="s">
        <v>575</v>
      </c>
    </row>
    <row r="167" spans="1:7" x14ac:dyDescent="0.35">
      <c r="A167" s="15">
        <v>11860</v>
      </c>
      <c r="B167" s="16" t="str">
        <f>"EXTINTORES MINAS GERAIS LTDA EPP"</f>
        <v>EXTINTORES MINAS GERAIS LTDA EPP</v>
      </c>
      <c r="C167" s="19" t="s">
        <v>579</v>
      </c>
      <c r="D167" s="19" t="s">
        <v>580</v>
      </c>
      <c r="E167" s="17" t="s">
        <v>576</v>
      </c>
      <c r="F167" s="18" t="s">
        <v>577</v>
      </c>
      <c r="G167" s="17" t="s">
        <v>578</v>
      </c>
    </row>
    <row r="168" spans="1:7" x14ac:dyDescent="0.35">
      <c r="A168" s="15">
        <v>11861</v>
      </c>
      <c r="B168" s="16" t="str">
        <f>"SOLANO TECNOLOGIA EMPRESARIAL LTDA ME"</f>
        <v>SOLANO TECNOLOGIA EMPRESARIAL LTDA ME</v>
      </c>
      <c r="C168" s="19" t="s">
        <v>583</v>
      </c>
      <c r="D168" s="19" t="s">
        <v>584</v>
      </c>
      <c r="E168" s="17" t="s">
        <v>581</v>
      </c>
      <c r="F168" s="18">
        <v>6200000</v>
      </c>
      <c r="G168" s="17" t="s">
        <v>582</v>
      </c>
    </row>
    <row r="169" spans="1:7" x14ac:dyDescent="0.35">
      <c r="A169" s="15">
        <v>11862</v>
      </c>
      <c r="B169" s="16" t="str">
        <f>"PIRONTI ADVOGADOS E CONSULTORES ASSOCIADOS"</f>
        <v>PIRONTI ADVOGADOS E CONSULTORES ASSOCIADOS</v>
      </c>
      <c r="C169" s="19" t="s">
        <v>588</v>
      </c>
      <c r="D169" s="19" t="s">
        <v>589</v>
      </c>
      <c r="E169" s="17" t="s">
        <v>585</v>
      </c>
      <c r="F169" s="18" t="s">
        <v>586</v>
      </c>
      <c r="G169" s="17" t="s">
        <v>587</v>
      </c>
    </row>
    <row r="170" spans="1:7" x14ac:dyDescent="0.35">
      <c r="A170" s="15">
        <v>11863</v>
      </c>
      <c r="B170" s="16" t="str">
        <f>"INSTITUTO  MUNDU"</f>
        <v>INSTITUTO  MUNDU</v>
      </c>
      <c r="C170" s="19" t="s">
        <v>591</v>
      </c>
      <c r="D170" s="19" t="s">
        <v>40</v>
      </c>
      <c r="E170" s="17" t="s">
        <v>590</v>
      </c>
      <c r="F170" s="18" t="s">
        <v>590</v>
      </c>
      <c r="G170" s="17" t="s">
        <v>14</v>
      </c>
    </row>
    <row r="171" spans="1:7" x14ac:dyDescent="0.35">
      <c r="A171" s="15">
        <v>11868</v>
      </c>
      <c r="B171" s="16" t="str">
        <f>"EMPRESA DE PESQUISA AGROPECUARIA DE MINAS GERAIS"</f>
        <v>EMPRESA DE PESQUISA AGROPECUARIA DE MINAS GERAIS</v>
      </c>
      <c r="C171" s="19">
        <v>45878</v>
      </c>
      <c r="D171" s="19">
        <v>46212</v>
      </c>
      <c r="E171" s="17" t="s">
        <v>592</v>
      </c>
      <c r="F171" s="18" t="s">
        <v>593</v>
      </c>
      <c r="G171" s="17" t="s">
        <v>594</v>
      </c>
    </row>
    <row r="172" spans="1:7" x14ac:dyDescent="0.35">
      <c r="A172" s="15">
        <v>11870</v>
      </c>
      <c r="B172" s="16" t="str">
        <f>"PPN TECNOLOGIA E  INFORMATICA LTDA"</f>
        <v>PPN TECNOLOGIA E  INFORMATICA LTDA</v>
      </c>
      <c r="C172" s="19" t="s">
        <v>598</v>
      </c>
      <c r="D172" s="19" t="s">
        <v>599</v>
      </c>
      <c r="E172" s="17" t="s">
        <v>595</v>
      </c>
      <c r="F172" s="18" t="s">
        <v>596</v>
      </c>
      <c r="G172" s="17" t="s">
        <v>597</v>
      </c>
    </row>
    <row r="173" spans="1:7" x14ac:dyDescent="0.35">
      <c r="A173" s="15">
        <v>11873</v>
      </c>
      <c r="B173" s="16" t="str">
        <f>"ALELO INSTITUICAO  DE PAGAMENTO SA"</f>
        <v>ALELO INSTITUICAO  DE PAGAMENTO SA</v>
      </c>
      <c r="C173" s="19">
        <v>45910</v>
      </c>
      <c r="D173" s="19">
        <v>46275</v>
      </c>
      <c r="E173" s="17" t="s">
        <v>600</v>
      </c>
      <c r="F173" s="18" t="s">
        <v>601</v>
      </c>
      <c r="G173" s="17" t="s">
        <v>602</v>
      </c>
    </row>
    <row r="174" spans="1:7" x14ac:dyDescent="0.35">
      <c r="A174" s="15">
        <v>11875</v>
      </c>
      <c r="B174" s="16" t="str">
        <f>"MINASBEV BEBIDAS DO BRASIL SA"</f>
        <v>MINASBEV BEBIDAS DO BRASIL SA</v>
      </c>
      <c r="C174" s="19" t="s">
        <v>604</v>
      </c>
      <c r="D174" s="19" t="s">
        <v>605</v>
      </c>
      <c r="E174" s="17" t="s">
        <v>603</v>
      </c>
      <c r="F174" s="18" t="s">
        <v>17</v>
      </c>
      <c r="G174" s="17" t="s">
        <v>603</v>
      </c>
    </row>
    <row r="175" spans="1:7" x14ac:dyDescent="0.35">
      <c r="A175" s="15">
        <v>11879</v>
      </c>
      <c r="B175" s="16" t="str">
        <f>"GUIDO A PALOMBA CLINICA MEDICA LTDA"</f>
        <v>GUIDO A PALOMBA CLINICA MEDICA LTDA</v>
      </c>
      <c r="C175" s="19" t="s">
        <v>607</v>
      </c>
      <c r="D175" s="19" t="s">
        <v>608</v>
      </c>
      <c r="E175" s="17" t="s">
        <v>606</v>
      </c>
      <c r="F175" s="18" t="s">
        <v>606</v>
      </c>
      <c r="G175" s="17" t="s">
        <v>14</v>
      </c>
    </row>
    <row r="176" spans="1:7" x14ac:dyDescent="0.35">
      <c r="A176" s="15">
        <v>11881</v>
      </c>
      <c r="B176" s="16" t="str">
        <f>"AACP SERVICO AMBIENTAL EIRELIME"</f>
        <v>AACP SERVICO AMBIENTAL EIRELIME</v>
      </c>
      <c r="C176" s="19" t="s">
        <v>612</v>
      </c>
      <c r="D176" s="19" t="s">
        <v>613</v>
      </c>
      <c r="E176" s="17" t="s">
        <v>609</v>
      </c>
      <c r="F176" s="18" t="s">
        <v>610</v>
      </c>
      <c r="G176" s="17" t="s">
        <v>611</v>
      </c>
    </row>
    <row r="177" spans="1:7" x14ac:dyDescent="0.35">
      <c r="A177" s="15">
        <v>11883</v>
      </c>
      <c r="B177" s="16" t="str">
        <f>"FORTE SEGURANCA ELETRONICA LTDA"</f>
        <v>FORTE SEGURANCA ELETRONICA LTDA</v>
      </c>
      <c r="C177" s="19" t="s">
        <v>612</v>
      </c>
      <c r="D177" s="19" t="s">
        <v>617</v>
      </c>
      <c r="E177" s="17" t="s">
        <v>614</v>
      </c>
      <c r="F177" s="18" t="s">
        <v>615</v>
      </c>
      <c r="G177" s="17" t="s">
        <v>616</v>
      </c>
    </row>
    <row r="178" spans="1:7" x14ac:dyDescent="0.35">
      <c r="A178" s="15">
        <v>11892</v>
      </c>
      <c r="B178" s="16" t="str">
        <f>"MED LEGAL SOLUCOES MEDICAS LTDA"</f>
        <v>MED LEGAL SOLUCOES MEDICAS LTDA</v>
      </c>
      <c r="C178" s="19">
        <v>45879</v>
      </c>
      <c r="D178" s="19">
        <v>46609</v>
      </c>
      <c r="E178" s="17" t="s">
        <v>618</v>
      </c>
      <c r="F178" s="18" t="s">
        <v>618</v>
      </c>
      <c r="G178" s="17" t="s">
        <v>14</v>
      </c>
    </row>
    <row r="179" spans="1:7" x14ac:dyDescent="0.35">
      <c r="A179" s="15">
        <v>11894</v>
      </c>
      <c r="B179" s="16" t="str">
        <f>"MALAB PRODUCOES LTDA"</f>
        <v>MALAB PRODUCOES LTDA</v>
      </c>
      <c r="C179" s="19" t="s">
        <v>620</v>
      </c>
      <c r="D179" s="19" t="s">
        <v>621</v>
      </c>
      <c r="E179" s="17" t="s">
        <v>619</v>
      </c>
      <c r="F179" s="18" t="s">
        <v>619</v>
      </c>
      <c r="G179" s="17" t="s">
        <v>14</v>
      </c>
    </row>
    <row r="180" spans="1:7" x14ac:dyDescent="0.35">
      <c r="A180" s="15">
        <v>11897</v>
      </c>
      <c r="B180" s="16" t="str">
        <f>"CREATIF  EVENTOS  LTDA"</f>
        <v>CREATIF  EVENTOS  LTDA</v>
      </c>
      <c r="C180" s="19" t="s">
        <v>598</v>
      </c>
      <c r="D180" s="19" t="s">
        <v>46</v>
      </c>
      <c r="E180" s="17" t="s">
        <v>622</v>
      </c>
      <c r="F180" s="18" t="s">
        <v>623</v>
      </c>
      <c r="G180" s="17" t="s">
        <v>624</v>
      </c>
    </row>
    <row r="181" spans="1:7" x14ac:dyDescent="0.35">
      <c r="A181" s="15">
        <v>11899</v>
      </c>
      <c r="B181" s="16" t="str">
        <f>"AGRO LIMPEZA E CONSERVACAO LTDA"</f>
        <v>AGRO LIMPEZA E CONSERVACAO LTDA</v>
      </c>
      <c r="C181" s="19" t="s">
        <v>620</v>
      </c>
      <c r="D181" s="19" t="s">
        <v>628</v>
      </c>
      <c r="E181" s="17" t="s">
        <v>625</v>
      </c>
      <c r="F181" s="18" t="s">
        <v>626</v>
      </c>
      <c r="G181" s="17" t="s">
        <v>627</v>
      </c>
    </row>
    <row r="182" spans="1:7" x14ac:dyDescent="0.35">
      <c r="A182" s="15">
        <v>11900</v>
      </c>
      <c r="B182" s="16" t="str">
        <f>"IMAGEM GEOSISTEMAS  E  COMERCIO LTDA"</f>
        <v>IMAGEM GEOSISTEMAS  E  COMERCIO LTDA</v>
      </c>
      <c r="C182" s="19">
        <v>45819</v>
      </c>
      <c r="D182" s="19">
        <v>46153</v>
      </c>
      <c r="E182" s="17" t="s">
        <v>629</v>
      </c>
      <c r="F182" s="18" t="s">
        <v>629</v>
      </c>
      <c r="G182" s="17" t="s">
        <v>14</v>
      </c>
    </row>
    <row r="183" spans="1:7" x14ac:dyDescent="0.35">
      <c r="A183" s="15">
        <v>11902</v>
      </c>
      <c r="B183" s="16" t="str">
        <f>"ARAXA AMBIENTAL LTDA"</f>
        <v>ARAXA AMBIENTAL LTDA</v>
      </c>
      <c r="C183" s="19" t="s">
        <v>633</v>
      </c>
      <c r="D183" s="19" t="s">
        <v>496</v>
      </c>
      <c r="E183" s="17" t="s">
        <v>630</v>
      </c>
      <c r="F183" s="18" t="s">
        <v>631</v>
      </c>
      <c r="G183" s="17" t="s">
        <v>632</v>
      </c>
    </row>
    <row r="184" spans="1:7" x14ac:dyDescent="0.35">
      <c r="A184" s="15">
        <v>11903</v>
      </c>
      <c r="B184" s="16" t="str">
        <f>"SGS GEOSOL LABORATORIOS LTDA"</f>
        <v>SGS GEOSOL LABORATORIOS LTDA</v>
      </c>
      <c r="C184" s="19">
        <v>45819</v>
      </c>
      <c r="D184" s="19">
        <v>46153</v>
      </c>
      <c r="E184" s="17" t="s">
        <v>634</v>
      </c>
      <c r="F184" s="18" t="s">
        <v>635</v>
      </c>
      <c r="G184" s="17" t="s">
        <v>636</v>
      </c>
    </row>
    <row r="185" spans="1:7" x14ac:dyDescent="0.35">
      <c r="A185" s="15">
        <v>11904</v>
      </c>
      <c r="B185" s="16" t="str">
        <f>"TOTVS SA"</f>
        <v>TOTVS SA</v>
      </c>
      <c r="C185" s="19" t="s">
        <v>620</v>
      </c>
      <c r="D185" s="19" t="s">
        <v>640</v>
      </c>
      <c r="E185" s="17" t="s">
        <v>637</v>
      </c>
      <c r="F185" s="18" t="s">
        <v>638</v>
      </c>
      <c r="G185" s="17" t="s">
        <v>639</v>
      </c>
    </row>
    <row r="186" spans="1:7" x14ac:dyDescent="0.35">
      <c r="A186" s="15">
        <v>11908</v>
      </c>
      <c r="B186" s="16" t="str">
        <f>"SEMPRE EDITORA LTDA"</f>
        <v>SEMPRE EDITORA LTDA</v>
      </c>
      <c r="C186" s="19" t="s">
        <v>643</v>
      </c>
      <c r="D186" s="19" t="s">
        <v>644</v>
      </c>
      <c r="E186" s="17" t="s">
        <v>641</v>
      </c>
      <c r="F186" s="18" t="s">
        <v>642</v>
      </c>
      <c r="G186" s="17">
        <v>1500000</v>
      </c>
    </row>
    <row r="187" spans="1:7" x14ac:dyDescent="0.35">
      <c r="A187" s="15">
        <v>11909</v>
      </c>
      <c r="B187" s="16" t="str">
        <f>"CEMIG DISTRIBUICAO S A"</f>
        <v>CEMIG DISTRIBUICAO S A</v>
      </c>
      <c r="C187" s="19" t="s">
        <v>648</v>
      </c>
      <c r="D187" s="19" t="s">
        <v>649</v>
      </c>
      <c r="E187" s="17" t="s">
        <v>645</v>
      </c>
      <c r="F187" s="18" t="s">
        <v>646</v>
      </c>
      <c r="G187" s="17" t="s">
        <v>647</v>
      </c>
    </row>
    <row r="188" spans="1:7" x14ac:dyDescent="0.35">
      <c r="A188" s="15">
        <v>11910</v>
      </c>
      <c r="B188" s="16" t="str">
        <f>"CEMIG DISTRIBUICAO S A"</f>
        <v>CEMIG DISTRIBUICAO S A</v>
      </c>
      <c r="C188" s="19" t="s">
        <v>648</v>
      </c>
      <c r="D188" s="19" t="s">
        <v>649</v>
      </c>
      <c r="E188" s="17" t="s">
        <v>650</v>
      </c>
      <c r="F188" s="18" t="s">
        <v>17</v>
      </c>
      <c r="G188" s="17" t="s">
        <v>650</v>
      </c>
    </row>
    <row r="189" spans="1:7" x14ac:dyDescent="0.35">
      <c r="A189" s="15">
        <v>11911</v>
      </c>
      <c r="B189" s="16" t="str">
        <f>"CONTEGO CONSULTORIA LTDA"</f>
        <v>CONTEGO CONSULTORIA LTDA</v>
      </c>
      <c r="C189" s="19">
        <v>45758</v>
      </c>
      <c r="D189" s="19">
        <v>46123</v>
      </c>
      <c r="E189" s="17" t="s">
        <v>651</v>
      </c>
      <c r="F189" s="18" t="s">
        <v>652</v>
      </c>
      <c r="G189" s="17" t="s">
        <v>653</v>
      </c>
    </row>
    <row r="190" spans="1:7" x14ac:dyDescent="0.35">
      <c r="A190" s="15">
        <v>11912</v>
      </c>
      <c r="B190" s="16" t="str">
        <f>"CASA DO TURISMO DE BELO HORIZONTE"</f>
        <v>CASA DO TURISMO DE BELO HORIZONTE</v>
      </c>
      <c r="C190" s="19" t="s">
        <v>657</v>
      </c>
      <c r="D190" s="19" t="s">
        <v>541</v>
      </c>
      <c r="E190" s="17" t="s">
        <v>654</v>
      </c>
      <c r="F190" s="18" t="s">
        <v>655</v>
      </c>
      <c r="G190" s="17" t="s">
        <v>656</v>
      </c>
    </row>
    <row r="191" spans="1:7" x14ac:dyDescent="0.35">
      <c r="A191" s="15">
        <v>11913</v>
      </c>
      <c r="B191" s="16" t="str">
        <f>"LP COMERCIO E DISTRIBUICAO LTDA"</f>
        <v>LP COMERCIO E DISTRIBUICAO LTDA</v>
      </c>
      <c r="C191" s="19">
        <v>45727</v>
      </c>
      <c r="D191" s="19">
        <v>46092</v>
      </c>
      <c r="E191" s="17" t="s">
        <v>658</v>
      </c>
      <c r="F191" s="18" t="s">
        <v>659</v>
      </c>
      <c r="G191" s="17" t="s">
        <v>660</v>
      </c>
    </row>
    <row r="192" spans="1:7" x14ac:dyDescent="0.35">
      <c r="A192" s="15">
        <v>11915</v>
      </c>
      <c r="B192" s="16" t="str">
        <f>"CENTRO DE BIOLOGIA EXPERIMENTAL OCEANUS LTDA"</f>
        <v>CENTRO DE BIOLOGIA EXPERIMENTAL OCEANUS LTDA</v>
      </c>
      <c r="C192" s="19" t="s">
        <v>664</v>
      </c>
      <c r="D192" s="19" t="s">
        <v>665</v>
      </c>
      <c r="E192" s="17" t="s">
        <v>661</v>
      </c>
      <c r="F192" s="18" t="s">
        <v>662</v>
      </c>
      <c r="G192" s="17" t="s">
        <v>663</v>
      </c>
    </row>
    <row r="193" spans="1:7" x14ac:dyDescent="0.35">
      <c r="A193" s="15">
        <v>11922</v>
      </c>
      <c r="B193" s="16" t="str">
        <f>"CONSORCIO TPF IBI  ENEJOTA ENEJOTA   SPALDING  SERTORI"</f>
        <v>CONSORCIO TPF IBI  ENEJOTA ENEJOTA   SPALDING  SERTORI</v>
      </c>
      <c r="C193" s="19">
        <v>46002</v>
      </c>
      <c r="D193" s="19">
        <v>46732</v>
      </c>
      <c r="E193" s="17" t="s">
        <v>666</v>
      </c>
      <c r="F193" s="18" t="s">
        <v>667</v>
      </c>
      <c r="G193" s="17" t="s">
        <v>668</v>
      </c>
    </row>
    <row r="194" spans="1:7" x14ac:dyDescent="0.35">
      <c r="A194" s="15">
        <v>11925</v>
      </c>
      <c r="B194" s="16" t="str">
        <f>"CONSORCIO ENGECORPS MOYSES E PIRES ALVAREZ E MARSAL PLENA"</f>
        <v>CONSORCIO ENGECORPS MOYSES E PIRES ALVAREZ E MARSAL PLENA</v>
      </c>
      <c r="C194" s="19" t="s">
        <v>670</v>
      </c>
      <c r="D194" s="19" t="s">
        <v>159</v>
      </c>
      <c r="E194" s="17" t="s">
        <v>669</v>
      </c>
      <c r="F194" s="18" t="s">
        <v>17</v>
      </c>
      <c r="G194" s="17" t="s">
        <v>669</v>
      </c>
    </row>
    <row r="195" spans="1:7" x14ac:dyDescent="0.35">
      <c r="A195" s="15">
        <v>11927</v>
      </c>
      <c r="B195" s="16" t="str">
        <f>"ESPACO CULTURAL PALACIO DAS MANGABEIRAS SPE S A"</f>
        <v>ESPACO CULTURAL PALACIO DAS MANGABEIRAS SPE S A</v>
      </c>
      <c r="C195" s="19" t="s">
        <v>672</v>
      </c>
      <c r="D195" s="19" t="s">
        <v>621</v>
      </c>
      <c r="E195" s="17" t="s">
        <v>671</v>
      </c>
      <c r="F195" s="18" t="s">
        <v>671</v>
      </c>
      <c r="G195" s="17" t="s">
        <v>14</v>
      </c>
    </row>
    <row r="196" spans="1:7" x14ac:dyDescent="0.35">
      <c r="A196" s="15">
        <v>11928</v>
      </c>
      <c r="B196" s="16" t="str">
        <f>"NECTA INOVA CONTEUDOS ESTRATEGICOS LTDA"</f>
        <v>NECTA INOVA CONTEUDOS ESTRATEGICOS LTDA</v>
      </c>
      <c r="C196" s="19" t="s">
        <v>675</v>
      </c>
      <c r="D196" s="19" t="s">
        <v>676</v>
      </c>
      <c r="E196" s="17" t="s">
        <v>131</v>
      </c>
      <c r="F196" s="18" t="s">
        <v>673</v>
      </c>
      <c r="G196" s="17" t="s">
        <v>674</v>
      </c>
    </row>
    <row r="197" spans="1:7" x14ac:dyDescent="0.35">
      <c r="A197" s="15">
        <v>11929</v>
      </c>
      <c r="B197" s="16" t="str">
        <f>"MS TRADUCOES LTDA"</f>
        <v>MS TRADUCOES LTDA</v>
      </c>
      <c r="C197" s="19" t="s">
        <v>678</v>
      </c>
      <c r="D197" s="19" t="s">
        <v>679</v>
      </c>
      <c r="E197" s="17" t="s">
        <v>677</v>
      </c>
      <c r="F197" s="18" t="s">
        <v>17</v>
      </c>
      <c r="G197" s="17" t="s">
        <v>677</v>
      </c>
    </row>
    <row r="198" spans="1:7" x14ac:dyDescent="0.35">
      <c r="A198" s="15">
        <v>11930</v>
      </c>
      <c r="B198" s="16" t="str">
        <f>"BASECAMP TREINAMENTO LTDA"</f>
        <v>BASECAMP TREINAMENTO LTDA</v>
      </c>
      <c r="C198" s="19" t="s">
        <v>683</v>
      </c>
      <c r="D198" s="19" t="s">
        <v>144</v>
      </c>
      <c r="E198" s="17" t="s">
        <v>680</v>
      </c>
      <c r="F198" s="18" t="s">
        <v>681</v>
      </c>
      <c r="G198" s="17" t="s">
        <v>682</v>
      </c>
    </row>
    <row r="199" spans="1:7" x14ac:dyDescent="0.35">
      <c r="A199" s="15">
        <v>11931</v>
      </c>
      <c r="B199" s="16" t="str">
        <f>"SOLANO TECNOLOGIA EMPRESARIAL LTDA ME"</f>
        <v>SOLANO TECNOLOGIA EMPRESARIAL LTDA ME</v>
      </c>
      <c r="C199" s="19" t="s">
        <v>633</v>
      </c>
      <c r="D199" s="19" t="s">
        <v>687</v>
      </c>
      <c r="E199" s="17" t="s">
        <v>684</v>
      </c>
      <c r="F199" s="18" t="s">
        <v>685</v>
      </c>
      <c r="G199" s="17" t="s">
        <v>686</v>
      </c>
    </row>
    <row r="200" spans="1:7" x14ac:dyDescent="0.35">
      <c r="A200" s="15">
        <v>11932</v>
      </c>
      <c r="B200" s="16" t="str">
        <f>"CEMIG DISTRIBUICAO S A"</f>
        <v>CEMIG DISTRIBUICAO S A</v>
      </c>
      <c r="C200" s="19" t="s">
        <v>691</v>
      </c>
      <c r="D200" s="19" t="s">
        <v>692</v>
      </c>
      <c r="E200" s="17" t="s">
        <v>688</v>
      </c>
      <c r="F200" s="18" t="s">
        <v>689</v>
      </c>
      <c r="G200" s="17" t="s">
        <v>690</v>
      </c>
    </row>
    <row r="201" spans="1:7" x14ac:dyDescent="0.35">
      <c r="A201" s="15">
        <v>11933</v>
      </c>
      <c r="B201" s="16" t="str">
        <f>"AGUA MINERAL NATURAL FONTE E VIDA LTDA"</f>
        <v>AGUA MINERAL NATURAL FONTE E VIDA LTDA</v>
      </c>
      <c r="C201" s="19" t="s">
        <v>696</v>
      </c>
      <c r="D201" s="19" t="s">
        <v>296</v>
      </c>
      <c r="E201" s="17" t="s">
        <v>693</v>
      </c>
      <c r="F201" s="18" t="s">
        <v>694</v>
      </c>
      <c r="G201" s="17" t="s">
        <v>695</v>
      </c>
    </row>
    <row r="202" spans="1:7" x14ac:dyDescent="0.35">
      <c r="A202" s="15">
        <v>11934</v>
      </c>
      <c r="B202" s="16" t="str">
        <f>"SWILE DO BRASIL SA"</f>
        <v>SWILE DO BRASIL SA</v>
      </c>
      <c r="C202" s="19" t="s">
        <v>700</v>
      </c>
      <c r="D202" s="19" t="s">
        <v>701</v>
      </c>
      <c r="E202" s="17" t="s">
        <v>697</v>
      </c>
      <c r="F202" s="18" t="s">
        <v>698</v>
      </c>
      <c r="G202" s="17" t="s">
        <v>699</v>
      </c>
    </row>
    <row r="203" spans="1:7" x14ac:dyDescent="0.35">
      <c r="A203" s="15">
        <v>11938</v>
      </c>
      <c r="B203" s="16" t="str">
        <f>"CONSORCIO CEMIG SIM  GD III"</f>
        <v>CONSORCIO CEMIG SIM  GD III</v>
      </c>
      <c r="C203" s="19" t="s">
        <v>643</v>
      </c>
      <c r="D203" s="19" t="s">
        <v>705</v>
      </c>
      <c r="E203" s="17" t="s">
        <v>702</v>
      </c>
      <c r="F203" s="18" t="s">
        <v>703</v>
      </c>
      <c r="G203" s="17" t="s">
        <v>704</v>
      </c>
    </row>
    <row r="204" spans="1:7" x14ac:dyDescent="0.35">
      <c r="A204" s="15">
        <v>11939</v>
      </c>
      <c r="B204" s="16" t="str">
        <f>"LIGA SUL MINEIRA DE DESPORTOS"</f>
        <v>LIGA SUL MINEIRA DE DESPORTOS</v>
      </c>
      <c r="C204" s="19" t="s">
        <v>707</v>
      </c>
      <c r="D204" s="19" t="s">
        <v>101</v>
      </c>
      <c r="E204" s="17" t="s">
        <v>706</v>
      </c>
      <c r="F204" s="18" t="s">
        <v>706</v>
      </c>
      <c r="G204" s="17" t="s">
        <v>14</v>
      </c>
    </row>
    <row r="205" spans="1:7" x14ac:dyDescent="0.35">
      <c r="A205" s="15">
        <v>11941</v>
      </c>
      <c r="B205" s="16" t="str">
        <f>"FUNDACAO CULTURAL ACIA"</f>
        <v>FUNDACAO CULTURAL ACIA</v>
      </c>
      <c r="C205" s="19" t="s">
        <v>709</v>
      </c>
      <c r="D205" s="19" t="s">
        <v>407</v>
      </c>
      <c r="E205" s="17" t="s">
        <v>708</v>
      </c>
      <c r="F205" s="18" t="s">
        <v>708</v>
      </c>
      <c r="G205" s="17" t="s">
        <v>14</v>
      </c>
    </row>
    <row r="206" spans="1:7" x14ac:dyDescent="0.35">
      <c r="A206" s="15">
        <v>11942</v>
      </c>
      <c r="B206" s="16" t="str">
        <f>"CERES INTELIGENCIA FINANCEIRA LTDA  EPP"</f>
        <v>CERES INTELIGENCIA FINANCEIRA LTDA  EPP</v>
      </c>
      <c r="C206" s="19">
        <v>46143</v>
      </c>
      <c r="D206" s="19">
        <v>46123</v>
      </c>
      <c r="E206" s="17" t="s">
        <v>710</v>
      </c>
      <c r="F206" s="18" t="s">
        <v>711</v>
      </c>
      <c r="G206" s="17" t="s">
        <v>712</v>
      </c>
    </row>
    <row r="207" spans="1:7" x14ac:dyDescent="0.35">
      <c r="A207" s="15">
        <v>11945</v>
      </c>
      <c r="B207" s="16" t="str">
        <f>"ASSOCIACAO ESPORTIVA DOS MUNICIPIOS DO SUL E SUDOESTE DE MINAS GERAIS  ASSESMIG"</f>
        <v>ASSOCIACAO ESPORTIVA DOS MUNICIPIOS DO SUL E SUDOESTE DE MINAS GERAIS  ASSESMIG</v>
      </c>
      <c r="C207" s="19" t="s">
        <v>716</v>
      </c>
      <c r="D207" s="19" t="s">
        <v>714</v>
      </c>
      <c r="E207" s="17" t="s">
        <v>715</v>
      </c>
      <c r="F207" s="18" t="s">
        <v>622</v>
      </c>
      <c r="G207" s="17" t="s">
        <v>624</v>
      </c>
    </row>
    <row r="208" spans="1:7" x14ac:dyDescent="0.35">
      <c r="A208" s="15">
        <v>11946</v>
      </c>
      <c r="B208" s="16" t="str">
        <f>"CLUBE RECREATIVO JUVENTUDE ALFENAS"</f>
        <v>CLUBE RECREATIVO JUVENTUDE ALFENAS</v>
      </c>
      <c r="C208" s="19" t="s">
        <v>713</v>
      </c>
      <c r="D208" s="19" t="s">
        <v>79</v>
      </c>
      <c r="E208" s="17" t="s">
        <v>717</v>
      </c>
      <c r="F208" s="18" t="s">
        <v>718</v>
      </c>
      <c r="G208" s="17" t="s">
        <v>719</v>
      </c>
    </row>
    <row r="209" spans="1:7" x14ac:dyDescent="0.35">
      <c r="A209" s="15">
        <v>11949</v>
      </c>
      <c r="B209" s="16" t="str">
        <f>"MINHA BIBLIOTECA LTDA"</f>
        <v>MINHA BIBLIOTECA LTDA</v>
      </c>
      <c r="C209" s="19" t="s">
        <v>722</v>
      </c>
      <c r="D209" s="19">
        <v>47059</v>
      </c>
      <c r="E209" s="17" t="s">
        <v>720</v>
      </c>
      <c r="F209" s="18" t="s">
        <v>721</v>
      </c>
      <c r="G209" s="17" t="s">
        <v>721</v>
      </c>
    </row>
    <row r="210" spans="1:7" x14ac:dyDescent="0.35">
      <c r="A210" s="15">
        <v>11950</v>
      </c>
      <c r="B210" s="16" t="str">
        <f>"PREFEITURA MUNICIPAL DE FORMIGA"</f>
        <v>PREFEITURA MUNICIPAL DE FORMIGA</v>
      </c>
      <c r="C210" s="19" t="s">
        <v>722</v>
      </c>
      <c r="D210" s="19" t="s">
        <v>436</v>
      </c>
      <c r="E210" s="17" t="s">
        <v>622</v>
      </c>
      <c r="F210" s="18" t="s">
        <v>622</v>
      </c>
      <c r="G210" s="17" t="s">
        <v>14</v>
      </c>
    </row>
    <row r="211" spans="1:7" x14ac:dyDescent="0.35">
      <c r="A211" s="15">
        <v>11951</v>
      </c>
      <c r="B211" s="16" t="str">
        <f>"EDUCARE FORMACAO DESENVOLVIMENTO LTDA"</f>
        <v>EDUCARE FORMACAO DESENVOLVIMENTO LTDA</v>
      </c>
      <c r="C211" s="19" t="s">
        <v>722</v>
      </c>
      <c r="D211" s="19" t="s">
        <v>724</v>
      </c>
      <c r="E211" s="17" t="s">
        <v>723</v>
      </c>
      <c r="F211" s="18" t="s">
        <v>723</v>
      </c>
      <c r="G211" s="17" t="s">
        <v>14</v>
      </c>
    </row>
    <row r="212" spans="1:7" x14ac:dyDescent="0.35">
      <c r="A212" s="15">
        <v>11952</v>
      </c>
      <c r="B212" s="16" t="str">
        <f>"AMA ORGANIZACAO DA SOCIEDADE CIVIL"</f>
        <v>AMA ORGANIZACAO DA SOCIEDADE CIVIL</v>
      </c>
      <c r="C212" s="19" t="s">
        <v>722</v>
      </c>
      <c r="D212" s="19" t="s">
        <v>308</v>
      </c>
      <c r="E212" s="17" t="s">
        <v>725</v>
      </c>
      <c r="F212" s="18" t="s">
        <v>726</v>
      </c>
      <c r="G212" s="17" t="s">
        <v>727</v>
      </c>
    </row>
    <row r="213" spans="1:7" x14ac:dyDescent="0.35">
      <c r="A213" s="15">
        <v>11953</v>
      </c>
      <c r="B213" s="16" t="str">
        <f>"SOCIEDADE BRASILEIRA DE CIRURGIA  BARIATRICA  E METABOLICA"</f>
        <v>SOCIEDADE BRASILEIRA DE CIRURGIA  BARIATRICA  E METABOLICA</v>
      </c>
      <c r="C213" s="19" t="s">
        <v>729</v>
      </c>
      <c r="D213" s="19" t="s">
        <v>730</v>
      </c>
      <c r="E213" s="17" t="s">
        <v>728</v>
      </c>
      <c r="F213" s="18" t="s">
        <v>728</v>
      </c>
      <c r="G213" s="17" t="s">
        <v>14</v>
      </c>
    </row>
    <row r="214" spans="1:7" x14ac:dyDescent="0.35">
      <c r="A214" s="15">
        <v>11954</v>
      </c>
      <c r="B214" s="16" t="str">
        <f>"FEDERACAO DAS INSTANCIAS DE GOVERNANCA REGIONAL DE TURISMO DO ESTADO DE MINAS GE"</f>
        <v>FEDERACAO DAS INSTANCIAS DE GOVERNANCA REGIONAL DE TURISMO DO ESTADO DE MINAS GE</v>
      </c>
      <c r="C214" s="19" t="s">
        <v>722</v>
      </c>
      <c r="D214" s="19" t="s">
        <v>308</v>
      </c>
      <c r="E214" s="17" t="s">
        <v>731</v>
      </c>
      <c r="F214" s="18" t="s">
        <v>732</v>
      </c>
      <c r="G214" s="17">
        <v>1353022</v>
      </c>
    </row>
    <row r="215" spans="1:7" x14ac:dyDescent="0.35">
      <c r="A215" s="15">
        <v>11955</v>
      </c>
      <c r="B215" s="16" t="str">
        <f>"TECNETWORKING SERVICOS E SOLUCOES EM TI LTDA"</f>
        <v>TECNETWORKING SERVICOS E SOLUCOES EM TI LTDA</v>
      </c>
      <c r="C215" s="19" t="s">
        <v>729</v>
      </c>
      <c r="D215" s="19" t="s">
        <v>736</v>
      </c>
      <c r="E215" s="17" t="s">
        <v>733</v>
      </c>
      <c r="F215" s="18" t="s">
        <v>734</v>
      </c>
      <c r="G215" s="17" t="s">
        <v>735</v>
      </c>
    </row>
    <row r="216" spans="1:7" x14ac:dyDescent="0.35">
      <c r="A216" s="15">
        <v>11957</v>
      </c>
      <c r="B216" s="16" t="str">
        <f>"DRIVE A INFORMATICA LTDA"</f>
        <v>DRIVE A INFORMATICA LTDA</v>
      </c>
      <c r="C216" s="19">
        <v>46143</v>
      </c>
      <c r="D216" s="19">
        <v>46508</v>
      </c>
      <c r="E216" s="17" t="s">
        <v>737</v>
      </c>
      <c r="F216" s="18" t="s">
        <v>17</v>
      </c>
      <c r="G216" s="17" t="s">
        <v>737</v>
      </c>
    </row>
    <row r="217" spans="1:7" x14ac:dyDescent="0.35">
      <c r="A217" s="15">
        <v>11958</v>
      </c>
      <c r="B217" s="16" t="str">
        <f>"INSTITUTO CULTURAL FILARMONICA"</f>
        <v>INSTITUTO CULTURAL FILARMONICA</v>
      </c>
      <c r="C217" s="19" t="s">
        <v>729</v>
      </c>
      <c r="D217" s="19" t="s">
        <v>738</v>
      </c>
      <c r="E217" s="17" t="s">
        <v>680</v>
      </c>
      <c r="F217" s="18" t="s">
        <v>680</v>
      </c>
      <c r="G217" s="17" t="s">
        <v>14</v>
      </c>
    </row>
    <row r="218" spans="1:7" x14ac:dyDescent="0.35">
      <c r="A218" s="15">
        <v>11965</v>
      </c>
      <c r="B218" s="16" t="str">
        <f>"INTERNATIONAL FINANCE CORPORATION"</f>
        <v>INTERNATIONAL FINANCE CORPORATION</v>
      </c>
      <c r="C218" s="19">
        <v>46083</v>
      </c>
      <c r="D218" s="19">
        <v>47179</v>
      </c>
      <c r="E218" s="17" t="s">
        <v>739</v>
      </c>
      <c r="F218" s="18" t="s">
        <v>740</v>
      </c>
      <c r="G218" s="17" t="s">
        <v>741</v>
      </c>
    </row>
    <row r="219" spans="1:7" x14ac:dyDescent="0.35">
      <c r="A219" s="15">
        <v>11972</v>
      </c>
      <c r="B219" s="16" t="str">
        <f>"ABC EMPREENDIMENTOS SEGURANCA E INCENDIO LTDA"</f>
        <v>ABC EMPREENDIMENTOS SEGURANCA E INCENDIO LTDA</v>
      </c>
      <c r="C219" s="19" t="s">
        <v>743</v>
      </c>
      <c r="D219" s="19" t="s">
        <v>481</v>
      </c>
      <c r="E219" s="17" t="s">
        <v>742</v>
      </c>
      <c r="F219" s="18" t="s">
        <v>17</v>
      </c>
      <c r="G219" s="17" t="s">
        <v>742</v>
      </c>
    </row>
    <row r="220" spans="1:7" x14ac:dyDescent="0.35">
      <c r="A220" s="15">
        <v>11973</v>
      </c>
      <c r="B220" s="16" t="str">
        <f>"SINDICATO INTERMUNICIPAL DAS INDUSTRIAS DO MOBILIARIO DE UBA"</f>
        <v>SINDICATO INTERMUNICIPAL DAS INDUSTRIAS DO MOBILIARIO DE UBA</v>
      </c>
      <c r="C220" s="19" t="s">
        <v>745</v>
      </c>
      <c r="D220" s="19" t="s">
        <v>46</v>
      </c>
      <c r="E220" s="17" t="s">
        <v>744</v>
      </c>
      <c r="F220" s="18" t="s">
        <v>744</v>
      </c>
      <c r="G220" s="17" t="s">
        <v>14</v>
      </c>
    </row>
    <row r="221" spans="1:7" x14ac:dyDescent="0.35">
      <c r="A221" s="15">
        <v>11974</v>
      </c>
      <c r="B221" s="16" t="str">
        <f>"MARCIO FERREIRA E CIA LTDA"</f>
        <v>MARCIO FERREIRA E CIA LTDA</v>
      </c>
      <c r="C221" s="19">
        <v>46083</v>
      </c>
      <c r="D221" s="19">
        <v>46448</v>
      </c>
      <c r="E221" s="17" t="s">
        <v>746</v>
      </c>
      <c r="F221" s="18" t="s">
        <v>747</v>
      </c>
      <c r="G221" s="17" t="s">
        <v>748</v>
      </c>
    </row>
    <row r="222" spans="1:7" x14ac:dyDescent="0.35">
      <c r="A222" s="15">
        <v>11976</v>
      </c>
      <c r="B222" s="16" t="str">
        <f>"CETEST MINAS ENGENHARIA E SERVICOS S A"</f>
        <v>CETEST MINAS ENGENHARIA E SERVICOS S A</v>
      </c>
      <c r="C222" s="19">
        <v>46083</v>
      </c>
      <c r="D222" s="19">
        <v>46089</v>
      </c>
      <c r="E222" s="17" t="s">
        <v>749</v>
      </c>
      <c r="F222" s="18" t="s">
        <v>750</v>
      </c>
      <c r="G222" s="17" t="s">
        <v>751</v>
      </c>
    </row>
    <row r="223" spans="1:7" x14ac:dyDescent="0.35">
      <c r="A223" s="15">
        <v>11977</v>
      </c>
      <c r="B223" s="16" t="str">
        <f>"CONSORCIO OTIMO DE BILHETAGEM ELETRONICA"</f>
        <v>CONSORCIO OTIMO DE BILHETAGEM ELETRONICA</v>
      </c>
      <c r="C223" s="19" t="s">
        <v>754</v>
      </c>
      <c r="D223" s="19" t="s">
        <v>755</v>
      </c>
      <c r="E223" s="17" t="s">
        <v>752</v>
      </c>
      <c r="F223" s="18">
        <v>575000</v>
      </c>
      <c r="G223" s="17" t="s">
        <v>753</v>
      </c>
    </row>
    <row r="224" spans="1:7" x14ac:dyDescent="0.35">
      <c r="A224" s="15">
        <v>11978</v>
      </c>
      <c r="B224" s="16" t="str">
        <f>"FEDERACAO DAS INDUSTRIAS DO ESTADO DE MINAS GERAIS"</f>
        <v>FEDERACAO DAS INDUSTRIAS DO ESTADO DE MINAS GERAIS</v>
      </c>
      <c r="C224" s="19">
        <v>46145</v>
      </c>
      <c r="D224" s="19">
        <v>46849</v>
      </c>
      <c r="E224" s="17" t="s">
        <v>756</v>
      </c>
      <c r="F224" s="18" t="s">
        <v>17</v>
      </c>
      <c r="G224" s="17" t="s">
        <v>756</v>
      </c>
    </row>
    <row r="225" spans="1:7" x14ac:dyDescent="0.35">
      <c r="A225" s="15">
        <v>11980</v>
      </c>
      <c r="B225" s="16" t="str">
        <f>"ALSB COMERCIO E SERVICOS LTDA"</f>
        <v>ALSB COMERCIO E SERVICOS LTDA</v>
      </c>
      <c r="C225" s="19">
        <v>46298</v>
      </c>
      <c r="D225" s="19">
        <v>46663</v>
      </c>
      <c r="E225" s="17" t="s">
        <v>757</v>
      </c>
      <c r="F225" s="18" t="s">
        <v>17</v>
      </c>
      <c r="G225" s="17" t="s">
        <v>757</v>
      </c>
    </row>
    <row r="226" spans="1:7" x14ac:dyDescent="0.35">
      <c r="A226" s="15">
        <v>11981</v>
      </c>
      <c r="B226" s="16" t="str">
        <f>"NECTA INOVA CONTEUDOS ESTRATEGICOS LTDA"</f>
        <v>NECTA INOVA CONTEUDOS ESTRATEGICOS LTDA</v>
      </c>
      <c r="C226" s="19" t="s">
        <v>759</v>
      </c>
      <c r="D226" s="19" t="s">
        <v>760</v>
      </c>
      <c r="E226" s="17" t="s">
        <v>758</v>
      </c>
      <c r="F226" s="18" t="s">
        <v>758</v>
      </c>
      <c r="G226" s="17" t="s">
        <v>14</v>
      </c>
    </row>
    <row r="227" spans="1:7" x14ac:dyDescent="0.35">
      <c r="A227" s="15">
        <v>11982</v>
      </c>
      <c r="B227" s="16" t="str">
        <f>"MORDOR INTELLIGENCE PVT LTD"</f>
        <v>MORDOR INTELLIGENCE PVT LTD</v>
      </c>
      <c r="C227" s="19">
        <v>46358</v>
      </c>
      <c r="D227" s="19">
        <v>46723</v>
      </c>
      <c r="E227" s="17" t="s">
        <v>761</v>
      </c>
      <c r="F227" s="18" t="s">
        <v>762</v>
      </c>
      <c r="G227" s="17" t="s">
        <v>763</v>
      </c>
    </row>
    <row r="228" spans="1:7" x14ac:dyDescent="0.35">
      <c r="A228" s="15">
        <v>11983</v>
      </c>
      <c r="B228" s="16" t="str">
        <f>"FUNDACAO INSTITUTO DE PESQUISAS ECONOMICAS FIPE"</f>
        <v>FUNDACAO INSTITUTO DE PESQUISAS ECONOMICAS FIPE</v>
      </c>
      <c r="C228" s="19">
        <v>46084</v>
      </c>
      <c r="D228" s="19">
        <v>46815</v>
      </c>
      <c r="E228" s="17" t="s">
        <v>764</v>
      </c>
      <c r="F228" s="18" t="s">
        <v>765</v>
      </c>
      <c r="G228" s="17" t="s">
        <v>766</v>
      </c>
    </row>
    <row r="229" spans="1:7" x14ac:dyDescent="0.35">
      <c r="A229" s="15">
        <v>11984</v>
      </c>
      <c r="B229" s="16" t="str">
        <f>"EMPRESA MUNICIPAL DE TURISMO  BELOTUR"</f>
        <v>EMPRESA MUNICIPAL DE TURISMO  BELOTUR</v>
      </c>
      <c r="C229" s="19" t="s">
        <v>767</v>
      </c>
      <c r="D229" s="19" t="s">
        <v>768</v>
      </c>
      <c r="E229" s="17" t="s">
        <v>671</v>
      </c>
      <c r="F229" s="18" t="s">
        <v>671</v>
      </c>
      <c r="G229" s="17" t="s">
        <v>14</v>
      </c>
    </row>
    <row r="230" spans="1:7" x14ac:dyDescent="0.35">
      <c r="A230" s="15">
        <v>11985</v>
      </c>
      <c r="B230" s="16" t="str">
        <f>"FUNDACAO INSTITUTO DE PESQUISAS ECONOMICAS FIPE"</f>
        <v>FUNDACAO INSTITUTO DE PESQUISAS ECONOMICAS FIPE</v>
      </c>
      <c r="C230" s="19" t="s">
        <v>770</v>
      </c>
      <c r="D230" s="19" t="s">
        <v>771</v>
      </c>
      <c r="E230" s="17" t="s">
        <v>769</v>
      </c>
      <c r="F230" s="18" t="s">
        <v>17</v>
      </c>
      <c r="G230" s="17" t="s">
        <v>769</v>
      </c>
    </row>
    <row r="231" spans="1:7" x14ac:dyDescent="0.35">
      <c r="A231" s="15">
        <v>11987</v>
      </c>
      <c r="B231" s="16" t="str">
        <f>"DORIA ADMINISTRACAO E EVENTOS LTDA"</f>
        <v>DORIA ADMINISTRACAO E EVENTOS LTDA</v>
      </c>
      <c r="C231" s="19">
        <v>46361</v>
      </c>
      <c r="D231" s="19">
        <v>46337</v>
      </c>
      <c r="E231" s="17" t="s">
        <v>772</v>
      </c>
      <c r="F231" s="18" t="s">
        <v>17</v>
      </c>
      <c r="G231" s="17" t="s">
        <v>772</v>
      </c>
    </row>
    <row r="232" spans="1:7" x14ac:dyDescent="0.35">
      <c r="A232" s="15">
        <v>11988</v>
      </c>
      <c r="B232" s="16" t="str">
        <f>"SERVICO SOCIAL AUTONOMO"</f>
        <v>SERVICO SOCIAL AUTONOMO</v>
      </c>
      <c r="C232" s="19" t="s">
        <v>774</v>
      </c>
      <c r="D232" s="19" t="s">
        <v>775</v>
      </c>
      <c r="E232" s="17" t="s">
        <v>773</v>
      </c>
      <c r="F232" s="18" t="s">
        <v>773</v>
      </c>
      <c r="G232" s="17" t="s">
        <v>14</v>
      </c>
    </row>
    <row r="233" spans="1:7" x14ac:dyDescent="0.35">
      <c r="A233" s="15">
        <v>11989</v>
      </c>
      <c r="B233" s="16" t="str">
        <f>"LUMENS ENGENHARIA LTDA"</f>
        <v>LUMENS ENGENHARIA LTDA</v>
      </c>
      <c r="C233" s="19">
        <v>46176</v>
      </c>
      <c r="D233" s="19">
        <v>46390</v>
      </c>
      <c r="E233" s="17" t="s">
        <v>776</v>
      </c>
      <c r="F233" s="18" t="s">
        <v>17</v>
      </c>
      <c r="G233" s="17" t="s">
        <v>776</v>
      </c>
    </row>
    <row r="234" spans="1:7" x14ac:dyDescent="0.35">
      <c r="A234" s="15">
        <v>11991</v>
      </c>
      <c r="B234" s="16" t="str">
        <f>"ASSOCIACAO  DOS REVENDEDORES DE VEICULOS NO ESTADO DE MINAS  GERAIS"</f>
        <v>ASSOCIACAO  DOS REVENDEDORES DE VEICULOS NO ESTADO DE MINAS  GERAIS</v>
      </c>
      <c r="C234" s="19" t="s">
        <v>778</v>
      </c>
      <c r="D234" s="19" t="s">
        <v>779</v>
      </c>
      <c r="E234" s="17" t="s">
        <v>777</v>
      </c>
      <c r="F234" s="18" t="s">
        <v>777</v>
      </c>
      <c r="G234" s="17" t="s">
        <v>14</v>
      </c>
    </row>
    <row r="235" spans="1:7" x14ac:dyDescent="0.35">
      <c r="A235" s="15">
        <v>11992</v>
      </c>
      <c r="B235" s="16" t="str">
        <f>"L3 SOFTWARE LTDA"</f>
        <v>L3 SOFTWARE LTDA</v>
      </c>
      <c r="C235" s="19">
        <v>46329</v>
      </c>
      <c r="D235" s="19">
        <v>46694</v>
      </c>
      <c r="E235" s="17" t="s">
        <v>131</v>
      </c>
      <c r="F235" s="18" t="s">
        <v>17</v>
      </c>
      <c r="G235" s="17" t="s">
        <v>131</v>
      </c>
    </row>
    <row r="236" spans="1:7" x14ac:dyDescent="0.35">
      <c r="A236" s="15">
        <v>11993</v>
      </c>
      <c r="B236" s="16" t="str">
        <f>"PEIXE SP ASSOCIACAOO DE PSICULTORES EM AGUAS PAULISTAS E DA UNIAO"</f>
        <v>PEIXE SP ASSOCIACAOO DE PSICULTORES EM AGUAS PAULISTAS E DA UNIAO</v>
      </c>
      <c r="C236" s="19">
        <v>46299</v>
      </c>
      <c r="D236" s="19">
        <v>46368</v>
      </c>
      <c r="E236" s="17" t="s">
        <v>622</v>
      </c>
      <c r="F236" s="18" t="s">
        <v>351</v>
      </c>
      <c r="G236" s="17" t="s">
        <v>351</v>
      </c>
    </row>
    <row r="237" spans="1:7" x14ac:dyDescent="0.35">
      <c r="A237" s="15">
        <v>11994</v>
      </c>
      <c r="B237" s="16" t="str">
        <f>"CONSORCIO OPERACIONAL DO SISTEMA BILHETAGEM"</f>
        <v>CONSORCIO OPERACIONAL DO SISTEMA BILHETAGEM</v>
      </c>
      <c r="C237" s="19" t="s">
        <v>754</v>
      </c>
      <c r="D237" s="19" t="s">
        <v>31</v>
      </c>
      <c r="E237" s="17">
        <v>5831200</v>
      </c>
      <c r="F237" s="18">
        <v>1936600</v>
      </c>
      <c r="G237" s="17">
        <v>3894600</v>
      </c>
    </row>
    <row r="238" spans="1:7" x14ac:dyDescent="0.35">
      <c r="A238" s="15">
        <v>11996</v>
      </c>
      <c r="B238" s="16" t="str">
        <f>"L3 SOFTWARE LTDA"</f>
        <v>L3 SOFTWARE LTDA</v>
      </c>
      <c r="C238" s="19" t="s">
        <v>782</v>
      </c>
      <c r="D238" s="19" t="s">
        <v>783</v>
      </c>
      <c r="E238" s="17" t="s">
        <v>131</v>
      </c>
      <c r="F238" s="18" t="s">
        <v>780</v>
      </c>
      <c r="G238" s="17" t="s">
        <v>781</v>
      </c>
    </row>
    <row r="239" spans="1:7" x14ac:dyDescent="0.35">
      <c r="A239" s="15">
        <v>11997</v>
      </c>
      <c r="B239" s="16" t="str">
        <f>"RADIO ITATIAIA  SA"</f>
        <v>RADIO ITATIAIA  SA</v>
      </c>
      <c r="C239" s="19" t="s">
        <v>786</v>
      </c>
      <c r="D239" s="19" t="s">
        <v>787</v>
      </c>
      <c r="E239" s="17" t="s">
        <v>708</v>
      </c>
      <c r="F239" s="18" t="s">
        <v>784</v>
      </c>
      <c r="G239" s="17" t="s">
        <v>785</v>
      </c>
    </row>
    <row r="240" spans="1:7" x14ac:dyDescent="0.35">
      <c r="A240" s="15">
        <v>11998</v>
      </c>
      <c r="B240" s="16" t="str">
        <f>"IMAGEM GEOSISTEMAS  E  COMERCIO LTDA"</f>
        <v>IMAGEM GEOSISTEMAS  E  COMERCIO LTDA</v>
      </c>
      <c r="C240" s="19">
        <v>46177</v>
      </c>
      <c r="D240" s="19" t="s">
        <v>789</v>
      </c>
      <c r="E240" s="17" t="s">
        <v>788</v>
      </c>
      <c r="F240" s="18" t="s">
        <v>788</v>
      </c>
      <c r="G240" s="17" t="s">
        <v>14</v>
      </c>
    </row>
    <row r="241" spans="1:7" x14ac:dyDescent="0.35">
      <c r="A241" s="15">
        <v>11999</v>
      </c>
      <c r="B241" s="16" t="str">
        <f>"PLX ASSET LTDA"</f>
        <v>PLX ASSET LTDA</v>
      </c>
      <c r="C241" s="19" t="s">
        <v>793</v>
      </c>
      <c r="D241" s="19" t="s">
        <v>154</v>
      </c>
      <c r="E241" s="17" t="s">
        <v>790</v>
      </c>
      <c r="F241" s="18" t="s">
        <v>791</v>
      </c>
      <c r="G241" s="17" t="s">
        <v>792</v>
      </c>
    </row>
    <row r="242" spans="1:7" x14ac:dyDescent="0.35">
      <c r="A242" s="15">
        <v>12000</v>
      </c>
      <c r="B242" s="16" t="str">
        <f>"MALINOVSKI FEIRAS E EVENTOS LTDA"</f>
        <v>MALINOVSKI FEIRAS E EVENTOS LTDA</v>
      </c>
      <c r="C242" s="19" t="s">
        <v>795</v>
      </c>
      <c r="D242" s="19" t="s">
        <v>343</v>
      </c>
      <c r="E242" s="17" t="s">
        <v>794</v>
      </c>
      <c r="F242" s="18" t="s">
        <v>794</v>
      </c>
      <c r="G242" s="17" t="s">
        <v>14</v>
      </c>
    </row>
    <row r="243" spans="1:7" x14ac:dyDescent="0.35">
      <c r="A243" s="15">
        <v>12001</v>
      </c>
      <c r="B243" s="16" t="str">
        <f>"SOUZA CESCON BARRIEU  FLESCH SOCIEDADE DE ADVOGADOS"</f>
        <v>SOUZA CESCON BARRIEU  FLESCH SOCIEDADE DE ADVOGADOS</v>
      </c>
      <c r="C243" s="19" t="s">
        <v>799</v>
      </c>
      <c r="D243" s="19" t="s">
        <v>800</v>
      </c>
      <c r="E243" s="17" t="s">
        <v>796</v>
      </c>
      <c r="F243" s="18" t="s">
        <v>797</v>
      </c>
      <c r="G243" s="17" t="s">
        <v>798</v>
      </c>
    </row>
    <row r="244" spans="1:7" x14ac:dyDescent="0.35">
      <c r="A244" s="15">
        <v>12002</v>
      </c>
      <c r="B244" s="16" t="str">
        <f>"ASSOCIACAO CENTRAL DOS FRUTICULTORES DO NORTE DE MINAS  ABANORTE"</f>
        <v>ASSOCIACAO CENTRAL DOS FRUTICULTORES DO NORTE DE MINAS  ABANORTE</v>
      </c>
      <c r="C244" s="19" t="s">
        <v>802</v>
      </c>
      <c r="D244" s="19" t="s">
        <v>428</v>
      </c>
      <c r="E244" s="17" t="s">
        <v>654</v>
      </c>
      <c r="F244" s="18" t="s">
        <v>801</v>
      </c>
      <c r="G244" s="17">
        <v>1724000</v>
      </c>
    </row>
    <row r="245" spans="1:7" x14ac:dyDescent="0.35">
      <c r="A245" s="15">
        <v>12006</v>
      </c>
      <c r="B245" s="16" t="str">
        <f>"COMERCIAL ML DE PECAS LTDA"</f>
        <v>COMERCIAL ML DE PECAS LTDA</v>
      </c>
      <c r="C245" s="19">
        <v>46117</v>
      </c>
      <c r="D245" s="19">
        <v>46482</v>
      </c>
      <c r="E245" s="17" t="s">
        <v>803</v>
      </c>
      <c r="F245" s="18" t="s">
        <v>804</v>
      </c>
      <c r="G245" s="17" t="s">
        <v>805</v>
      </c>
    </row>
    <row r="246" spans="1:7" x14ac:dyDescent="0.35">
      <c r="A246" s="15">
        <v>12007</v>
      </c>
      <c r="B246" s="16" t="str">
        <f>"DISTRIBUIDORA DE AGUAS MINERAIS BH LTDA"</f>
        <v>DISTRIBUIDORA DE AGUAS MINERAIS BH LTDA</v>
      </c>
      <c r="C246" s="19" t="s">
        <v>809</v>
      </c>
      <c r="D246" s="19" t="s">
        <v>810</v>
      </c>
      <c r="E246" s="17" t="s">
        <v>806</v>
      </c>
      <c r="F246" s="18" t="s">
        <v>807</v>
      </c>
      <c r="G246" s="17" t="s">
        <v>808</v>
      </c>
    </row>
    <row r="247" spans="1:7" x14ac:dyDescent="0.35">
      <c r="A247" s="15">
        <v>12008</v>
      </c>
      <c r="B247" s="16" t="str">
        <f>"MG BLOCK EQUIPAMENTOS LTDA"</f>
        <v>MG BLOCK EQUIPAMENTOS LTDA</v>
      </c>
      <c r="C247" s="19">
        <v>46208</v>
      </c>
      <c r="D247" s="19">
        <v>46544</v>
      </c>
      <c r="E247" s="17" t="s">
        <v>811</v>
      </c>
      <c r="F247" s="18" t="s">
        <v>812</v>
      </c>
      <c r="G247" s="17" t="s">
        <v>813</v>
      </c>
    </row>
    <row r="248" spans="1:7" x14ac:dyDescent="0.35">
      <c r="A248" s="15">
        <v>12009</v>
      </c>
      <c r="B248" s="16" t="str">
        <f>"FUNDACAO EDUCACIONAL E CULTURAL DO SUDOESTE MINEIRO"</f>
        <v>FUNDACAO EDUCACIONAL E CULTURAL DO SUDOESTE MINEIRO</v>
      </c>
      <c r="C248" s="19" t="s">
        <v>809</v>
      </c>
      <c r="D248" s="19" t="s">
        <v>814</v>
      </c>
      <c r="E248" s="17" t="s">
        <v>708</v>
      </c>
      <c r="F248" s="18" t="s">
        <v>682</v>
      </c>
      <c r="G248" s="17" t="s">
        <v>682</v>
      </c>
    </row>
    <row r="249" spans="1:7" x14ac:dyDescent="0.35">
      <c r="A249" s="15">
        <v>12010</v>
      </c>
      <c r="B249" s="16" t="str">
        <f>"PROFI COMERCIO DE ALIMENTOS LTDA"</f>
        <v>PROFI COMERCIO DE ALIMENTOS LTDA</v>
      </c>
      <c r="C249" s="19">
        <v>46178</v>
      </c>
      <c r="D249" s="19">
        <v>46512</v>
      </c>
      <c r="E249" s="17" t="s">
        <v>815</v>
      </c>
      <c r="F249" s="18" t="s">
        <v>816</v>
      </c>
      <c r="G249" s="17" t="s">
        <v>817</v>
      </c>
    </row>
    <row r="250" spans="1:7" x14ac:dyDescent="0.35">
      <c r="A250" s="15">
        <v>12011</v>
      </c>
      <c r="B250" s="16" t="str">
        <f>"PRODEMGE  CIA DE TECNOL DA INFORMACAO DE MG"</f>
        <v>PRODEMGE  CIA DE TECNOL DA INFORMACAO DE MG</v>
      </c>
      <c r="C250" s="19" t="s">
        <v>819</v>
      </c>
      <c r="D250" s="19" t="s">
        <v>820</v>
      </c>
      <c r="E250" s="17" t="s">
        <v>818</v>
      </c>
      <c r="F250" s="18" t="s">
        <v>17</v>
      </c>
      <c r="G250" s="17" t="s">
        <v>818</v>
      </c>
    </row>
    <row r="251" spans="1:7" x14ac:dyDescent="0.35">
      <c r="A251" s="15">
        <v>12012</v>
      </c>
      <c r="B251" s="16" t="str">
        <f>"ASSOCIACAO MINEIRA DE MUNICIPIOS"</f>
        <v>ASSOCIACAO MINEIRA DE MUNICIPIOS</v>
      </c>
      <c r="C251" s="19">
        <v>46147</v>
      </c>
      <c r="D251" s="19">
        <v>46478</v>
      </c>
      <c r="E251" s="17" t="s">
        <v>773</v>
      </c>
      <c r="F251" s="18" t="s">
        <v>773</v>
      </c>
      <c r="G251" s="17" t="s">
        <v>14</v>
      </c>
    </row>
    <row r="252" spans="1:7" x14ac:dyDescent="0.35">
      <c r="A252" s="15">
        <v>12013</v>
      </c>
      <c r="B252" s="16" t="str">
        <f>"LACERDA DINIZ SENA ADVOGADOS"</f>
        <v>LACERDA DINIZ SENA ADVOGADOS</v>
      </c>
      <c r="C252" s="19">
        <v>46239</v>
      </c>
      <c r="D252" s="19">
        <v>46573</v>
      </c>
      <c r="E252" s="17" t="s">
        <v>744</v>
      </c>
      <c r="F252" s="18" t="s">
        <v>821</v>
      </c>
      <c r="G252" s="17" t="s">
        <v>822</v>
      </c>
    </row>
    <row r="253" spans="1:7" x14ac:dyDescent="0.35">
      <c r="A253" s="15">
        <v>12015</v>
      </c>
      <c r="B253" s="16" t="str">
        <f>"SETTE TURISMO PROMOCOES E EVENTOS LTDA"</f>
        <v>SETTE TURISMO PROMOCOES E EVENTOS LTDA</v>
      </c>
      <c r="C253" s="19" t="s">
        <v>823</v>
      </c>
      <c r="D253" s="19" t="s">
        <v>824</v>
      </c>
      <c r="E253" s="17" t="s">
        <v>654</v>
      </c>
      <c r="F253" s="18" t="s">
        <v>654</v>
      </c>
      <c r="G253" s="17" t="s">
        <v>14</v>
      </c>
    </row>
    <row r="254" spans="1:7" x14ac:dyDescent="0.35">
      <c r="A254" s="15">
        <v>12016</v>
      </c>
      <c r="B254" s="16" t="str">
        <f>"FEDERACAO DA AGRICULTURA E PECUARIA DO ESTADO DE MINAS GERAIS"</f>
        <v>FEDERACAO DA AGRICULTURA E PECUARIA DO ESTADO DE MINAS GERAIS</v>
      </c>
      <c r="C254" s="19" t="s">
        <v>825</v>
      </c>
      <c r="D254" s="19">
        <v>46185</v>
      </c>
      <c r="E254" s="17" t="s">
        <v>131</v>
      </c>
      <c r="F254" s="18" t="s">
        <v>17</v>
      </c>
      <c r="G254" s="17" t="s">
        <v>131</v>
      </c>
    </row>
    <row r="255" spans="1:7" x14ac:dyDescent="0.35">
      <c r="A255" s="15">
        <v>12017</v>
      </c>
      <c r="B255" s="16" t="str">
        <f>"ACT COMUNICACAO EMPRESARIAL LTDA"</f>
        <v>ACT COMUNICACAO EMPRESARIAL LTDA</v>
      </c>
      <c r="C255" s="19" t="s">
        <v>819</v>
      </c>
      <c r="D255" s="19" t="s">
        <v>829</v>
      </c>
      <c r="E255" s="17" t="s">
        <v>826</v>
      </c>
      <c r="F255" s="18" t="s">
        <v>827</v>
      </c>
      <c r="G255" s="17" t="s">
        <v>828</v>
      </c>
    </row>
    <row r="256" spans="1:7" x14ac:dyDescent="0.35">
      <c r="A256" s="15">
        <v>12018</v>
      </c>
      <c r="B256" s="16" t="str">
        <f>"SEMPRE EDITORA LTDA"</f>
        <v>SEMPRE EDITORA LTDA</v>
      </c>
      <c r="C256" s="19">
        <v>46361</v>
      </c>
      <c r="D256" s="19">
        <v>46722</v>
      </c>
      <c r="E256" s="17" t="s">
        <v>781</v>
      </c>
      <c r="F256" s="18" t="s">
        <v>17</v>
      </c>
      <c r="G256" s="17" t="s">
        <v>781</v>
      </c>
    </row>
    <row r="257" spans="1:7" x14ac:dyDescent="0.35">
      <c r="A257" s="15">
        <v>12019</v>
      </c>
      <c r="B257" s="16" t="str">
        <f>"ASSOCIACAO DOS FORNECEDORES DE CANA DA REGIAO DE CAMPO FLORIDO"</f>
        <v>ASSOCIACAO DOS FORNECEDORES DE CANA DA REGIAO DE CAMPO FLORIDO</v>
      </c>
      <c r="C257" s="19" t="s">
        <v>825</v>
      </c>
      <c r="D257" s="19" t="s">
        <v>831</v>
      </c>
      <c r="E257" s="17" t="s">
        <v>830</v>
      </c>
      <c r="F257" s="18" t="s">
        <v>17</v>
      </c>
      <c r="G257" s="17" t="s">
        <v>830</v>
      </c>
    </row>
    <row r="258" spans="1:7" x14ac:dyDescent="0.35">
      <c r="A258" s="15">
        <v>12020</v>
      </c>
      <c r="B258" s="16" t="str">
        <f>"INSTITUTO RUI BARBOSA"</f>
        <v>INSTITUTO RUI BARBOSA</v>
      </c>
      <c r="C258" s="19" t="s">
        <v>825</v>
      </c>
      <c r="D258" s="19" t="s">
        <v>833</v>
      </c>
      <c r="E258" s="17" t="s">
        <v>832</v>
      </c>
      <c r="F258" s="18" t="s">
        <v>17</v>
      </c>
      <c r="G258" s="17" t="s">
        <v>832</v>
      </c>
    </row>
    <row r="259" spans="1:7" x14ac:dyDescent="0.35">
      <c r="A259" s="15">
        <v>12022</v>
      </c>
      <c r="B259" s="16" t="str">
        <f>"COOPERATIVA DOS CAFEICULTORES DO CERRADO DE ARAGUARI E REGIAO LTDA"</f>
        <v>COOPERATIVA DOS CAFEICULTORES DO CERRADO DE ARAGUARI E REGIAO LTDA</v>
      </c>
      <c r="C259" s="19">
        <v>46028</v>
      </c>
      <c r="D259" s="19">
        <v>46034</v>
      </c>
      <c r="E259" s="17" t="s">
        <v>654</v>
      </c>
      <c r="F259" s="18" t="s">
        <v>17</v>
      </c>
      <c r="G259" s="17" t="s">
        <v>654</v>
      </c>
    </row>
    <row r="260" spans="1:7" x14ac:dyDescent="0.35">
      <c r="A260" s="15">
        <v>12023</v>
      </c>
      <c r="B260" s="16" t="str">
        <f>"ASSOCIACAO BRASILEIRA DOS CRIADORES DE GIROLANDO"</f>
        <v>ASSOCIACAO BRASILEIRA DOS CRIADORES DE GIROLANDO</v>
      </c>
      <c r="C260" s="19">
        <v>46087</v>
      </c>
      <c r="D260" s="19">
        <v>46185</v>
      </c>
      <c r="E260" s="17" t="s">
        <v>834</v>
      </c>
      <c r="F260" s="18" t="s">
        <v>17</v>
      </c>
      <c r="G260" s="17" t="s">
        <v>834</v>
      </c>
    </row>
    <row r="261" spans="1:7" x14ac:dyDescent="0.35">
      <c r="A261" s="15">
        <v>12024</v>
      </c>
      <c r="B261" s="16" t="str">
        <f>"SEMPRE EDITORA LTDA"</f>
        <v>SEMPRE EDITORA LTDA</v>
      </c>
      <c r="C261" s="19">
        <v>46240</v>
      </c>
      <c r="D261" s="19">
        <v>46368</v>
      </c>
      <c r="E261" s="17" t="s">
        <v>781</v>
      </c>
      <c r="F261" s="18" t="s">
        <v>17</v>
      </c>
      <c r="G261" s="17" t="s">
        <v>781</v>
      </c>
    </row>
    <row r="262" spans="1:7" x14ac:dyDescent="0.35">
      <c r="A262" s="15">
        <v>12025</v>
      </c>
      <c r="B262" s="16" t="str">
        <f>"PLANILHAR TREINAMENTO E CONSULTORIA EM LICITACOES LTDA"</f>
        <v>PLANILHAR TREINAMENTO E CONSULTORIA EM LICITACOES LTDA</v>
      </c>
      <c r="C262" s="19">
        <v>46271</v>
      </c>
      <c r="D262" s="19">
        <v>46605</v>
      </c>
      <c r="E262" s="17" t="s">
        <v>822</v>
      </c>
      <c r="F262" s="18" t="s">
        <v>17</v>
      </c>
      <c r="G262" s="17" t="s">
        <v>822</v>
      </c>
    </row>
    <row r="263" spans="1:7" x14ac:dyDescent="0.35">
      <c r="A263" s="15">
        <v>12026</v>
      </c>
      <c r="B263" s="16" t="str">
        <f>"HPL PRODUCOES EVENTOS EIRELI"</f>
        <v>HPL PRODUCOES EVENTOS EIRELI</v>
      </c>
      <c r="C263" s="19">
        <v>46087</v>
      </c>
      <c r="D263" s="19" t="s">
        <v>835</v>
      </c>
      <c r="E263" s="17" t="s">
        <v>622</v>
      </c>
      <c r="F263" s="18" t="s">
        <v>622</v>
      </c>
      <c r="G263" s="17" t="s">
        <v>14</v>
      </c>
    </row>
    <row r="264" spans="1:7" x14ac:dyDescent="0.35">
      <c r="A264" s="15">
        <v>12027</v>
      </c>
      <c r="B264" s="16" t="str">
        <f>"ECOLOGICO COMUNICACAO EM MEIO AMBIENTE LTDA"</f>
        <v>ECOLOGICO COMUNICACAO EM MEIO AMBIENTE LTDA</v>
      </c>
      <c r="C264" s="19">
        <v>46240</v>
      </c>
      <c r="D264" s="19">
        <v>46246</v>
      </c>
      <c r="E264" s="17" t="s">
        <v>836</v>
      </c>
      <c r="F264" s="18" t="s">
        <v>17</v>
      </c>
      <c r="G264" s="17" t="s">
        <v>836</v>
      </c>
    </row>
    <row r="265" spans="1:7" x14ac:dyDescent="0.35">
      <c r="A265" s="15">
        <v>12028</v>
      </c>
      <c r="B265" s="16" t="str">
        <f>"MINEIRA DIGITAL  E EVENTOS  LTDA"</f>
        <v>MINEIRA DIGITAL  E EVENTOS  LTDA</v>
      </c>
      <c r="C265" s="19">
        <v>46301</v>
      </c>
      <c r="D265" s="19" t="s">
        <v>301</v>
      </c>
      <c r="E265" s="17" t="s">
        <v>622</v>
      </c>
      <c r="F265" s="18" t="s">
        <v>622</v>
      </c>
      <c r="G265" s="17" t="s">
        <v>14</v>
      </c>
    </row>
    <row r="266" spans="1:7" x14ac:dyDescent="0.35">
      <c r="A266" s="15">
        <v>12029</v>
      </c>
      <c r="B266" s="16" t="str">
        <f>"FUNDO DE APOIO A ESTRUTURACAO FEP CAIXA"</f>
        <v>FUNDO DE APOIO A ESTRUTURACAO FEP CAIXA</v>
      </c>
      <c r="C266" s="19" t="s">
        <v>840</v>
      </c>
      <c r="D266" s="19" t="s">
        <v>841</v>
      </c>
      <c r="E266" s="17" t="s">
        <v>837</v>
      </c>
      <c r="F266" s="18" t="s">
        <v>838</v>
      </c>
      <c r="G266" s="17" t="s">
        <v>839</v>
      </c>
    </row>
    <row r="267" spans="1:7" x14ac:dyDescent="0.35">
      <c r="A267" s="15">
        <v>12030</v>
      </c>
      <c r="B267" s="16" t="str">
        <f>"FEDERACAO DAS CAMARAS DOS DIRIGENTES LOGISTAS DO ESTADO DE MINAS GERAIS"</f>
        <v>FEDERACAO DAS CAMARAS DOS DIRIGENTES LOGISTAS DO ESTADO DE MINAS GERAIS</v>
      </c>
      <c r="C267" s="19">
        <v>46271</v>
      </c>
      <c r="D267" s="19" t="s">
        <v>842</v>
      </c>
      <c r="E267" s="17" t="s">
        <v>351</v>
      </c>
      <c r="F267" s="18" t="s">
        <v>351</v>
      </c>
      <c r="G267" s="17" t="s">
        <v>14</v>
      </c>
    </row>
    <row r="268" spans="1:7" x14ac:dyDescent="0.35">
      <c r="A268" s="15">
        <v>12031</v>
      </c>
      <c r="B268" s="16" t="str">
        <f>"ASSOCIACAO DOS CONDOMINIOS DE LAGOA SANTA"</f>
        <v>ASSOCIACAO DOS CONDOMINIOS DE LAGOA SANTA</v>
      </c>
      <c r="C268" s="19">
        <v>46301</v>
      </c>
      <c r="D268" s="19" t="s">
        <v>301</v>
      </c>
      <c r="E268" s="17" t="s">
        <v>351</v>
      </c>
      <c r="F268" s="18" t="s">
        <v>351</v>
      </c>
      <c r="G268" s="17" t="s">
        <v>14</v>
      </c>
    </row>
    <row r="269" spans="1:7" x14ac:dyDescent="0.35">
      <c r="A269" s="15">
        <v>12032</v>
      </c>
      <c r="B269" s="16" t="str">
        <f>"ASSOCIACAO PROCULTURA E PROMOCAO DAS ARTES"</f>
        <v>ASSOCIACAO PROCULTURA E PROMOCAO DAS ARTES</v>
      </c>
      <c r="C269" s="19" t="s">
        <v>844</v>
      </c>
      <c r="D269" s="19" t="s">
        <v>845</v>
      </c>
      <c r="E269" s="17" t="s">
        <v>843</v>
      </c>
      <c r="F269" s="18" t="s">
        <v>17</v>
      </c>
      <c r="G269" s="17" t="s">
        <v>843</v>
      </c>
    </row>
    <row r="270" spans="1:7" x14ac:dyDescent="0.35">
      <c r="A270" s="15">
        <v>12034</v>
      </c>
      <c r="B270" s="16" t="str">
        <f>"INSTITUTO DE FORMACAO DE LIDERES DE BHTE"</f>
        <v>INSTITUTO DE FORMACAO DE LIDERES DE BHTE</v>
      </c>
      <c r="C270" s="19" t="s">
        <v>844</v>
      </c>
      <c r="D270" s="19" t="s">
        <v>736</v>
      </c>
      <c r="E270" s="17" t="s">
        <v>777</v>
      </c>
      <c r="F270" s="18" t="s">
        <v>17</v>
      </c>
      <c r="G270" s="17" t="s">
        <v>777</v>
      </c>
    </row>
    <row r="271" spans="1:7" x14ac:dyDescent="0.35">
      <c r="A271" s="15">
        <v>12036</v>
      </c>
      <c r="B271" s="16" t="str">
        <f>"VILA BRASIL TURISMO EVENTOS E BUFFET LTDA"</f>
        <v>VILA BRASIL TURISMO EVENTOS E BUFFET LTDA</v>
      </c>
      <c r="C271" s="19" t="s">
        <v>847</v>
      </c>
      <c r="D271" s="19" t="s">
        <v>736</v>
      </c>
      <c r="E271" s="17" t="s">
        <v>846</v>
      </c>
      <c r="F271" s="18" t="s">
        <v>17</v>
      </c>
      <c r="G271" s="17" t="s">
        <v>846</v>
      </c>
    </row>
    <row r="272" spans="1:7" x14ac:dyDescent="0.35">
      <c r="A272" s="15">
        <v>12037</v>
      </c>
      <c r="B272" s="16" t="str">
        <f>"ASSOCIACAO DE MUSICOS E ARTISTAS DE SAO THOME DAS LETRAS"</f>
        <v>ASSOCIACAO DE MUSICOS E ARTISTAS DE SAO THOME DAS LETRAS</v>
      </c>
      <c r="C272" s="19" t="s">
        <v>844</v>
      </c>
      <c r="D272" s="19" t="s">
        <v>466</v>
      </c>
      <c r="E272" s="17" t="s">
        <v>622</v>
      </c>
      <c r="F272" s="18" t="s">
        <v>848</v>
      </c>
      <c r="G272" s="17" t="s">
        <v>849</v>
      </c>
    </row>
    <row r="273" spans="1:7" x14ac:dyDescent="0.35">
      <c r="A273" s="15">
        <v>12038</v>
      </c>
      <c r="B273" s="16" t="str">
        <f>"SOCIEDADE RURAL DE MONTES CLAROS"</f>
        <v>SOCIEDADE RURAL DE MONTES CLAROS</v>
      </c>
      <c r="C273" s="19" t="s">
        <v>850</v>
      </c>
      <c r="D273" s="19">
        <v>46508</v>
      </c>
      <c r="E273" s="17" t="s">
        <v>622</v>
      </c>
      <c r="F273" s="18" t="s">
        <v>17</v>
      </c>
      <c r="G273" s="17" t="s">
        <v>622</v>
      </c>
    </row>
    <row r="274" spans="1:7" x14ac:dyDescent="0.35">
      <c r="A274" s="15">
        <v>12039</v>
      </c>
      <c r="B274" s="16" t="str">
        <f>"SAD CONSULTORIA LTDA"</f>
        <v>SAD CONSULTORIA LTDA</v>
      </c>
      <c r="C274" s="19" t="s">
        <v>854</v>
      </c>
      <c r="D274" s="19" t="s">
        <v>855</v>
      </c>
      <c r="E274" s="17" t="s">
        <v>851</v>
      </c>
      <c r="F274" s="18" t="s">
        <v>852</v>
      </c>
      <c r="G274" s="17" t="s">
        <v>853</v>
      </c>
    </row>
    <row r="275" spans="1:7" x14ac:dyDescent="0.35">
      <c r="A275" s="15">
        <v>12040</v>
      </c>
      <c r="B275" s="16" t="str">
        <f>"IOB INFORMACOES OBJ E PUBLIC JURID LTDA"</f>
        <v>IOB INFORMACOES OBJ E PUBLIC JURID LTDA</v>
      </c>
      <c r="C275" s="19">
        <v>46210</v>
      </c>
      <c r="D275" s="19">
        <v>46575</v>
      </c>
      <c r="E275" s="17" t="s">
        <v>856</v>
      </c>
      <c r="F275" s="18" t="s">
        <v>856</v>
      </c>
      <c r="G275" s="17" t="s">
        <v>14</v>
      </c>
    </row>
    <row r="276" spans="1:7" x14ac:dyDescent="0.35">
      <c r="A276" s="15">
        <v>12042</v>
      </c>
      <c r="B276" s="16" t="str">
        <f>"UNIVERSIDADE FEDERAL DE SAO JOAO DEL REI"</f>
        <v>UNIVERSIDADE FEDERAL DE SAO JOAO DEL REI</v>
      </c>
      <c r="C276" s="19" t="s">
        <v>858</v>
      </c>
      <c r="D276" s="19" t="s">
        <v>859</v>
      </c>
      <c r="E276" s="17" t="s">
        <v>857</v>
      </c>
      <c r="F276" s="18" t="s">
        <v>17</v>
      </c>
      <c r="G276" s="17" t="s">
        <v>857</v>
      </c>
    </row>
    <row r="277" spans="1:7" x14ac:dyDescent="0.35">
      <c r="A277" s="15">
        <v>12043</v>
      </c>
      <c r="B277" s="16" t="str">
        <f>"MUNICIPIO DE HELIODORA"</f>
        <v>MUNICIPIO DE HELIODORA</v>
      </c>
      <c r="C277" s="19" t="s">
        <v>860</v>
      </c>
      <c r="D277" s="19" t="s">
        <v>308</v>
      </c>
      <c r="E277" s="17" t="s">
        <v>846</v>
      </c>
      <c r="F277" s="18" t="s">
        <v>846</v>
      </c>
      <c r="G277" s="17" t="s">
        <v>14</v>
      </c>
    </row>
    <row r="278" spans="1:7" x14ac:dyDescent="0.35">
      <c r="A278" s="15">
        <v>12046</v>
      </c>
      <c r="B278" s="16" t="str">
        <f>"PREFEITURA MUNICIPAL DE JUIZ DE FORA"</f>
        <v>PREFEITURA MUNICIPAL DE JUIZ DE FORA</v>
      </c>
      <c r="C278" s="19" t="s">
        <v>860</v>
      </c>
      <c r="D278" s="19" t="s">
        <v>553</v>
      </c>
      <c r="E278" s="17" t="s">
        <v>861</v>
      </c>
      <c r="F278" s="18" t="s">
        <v>140</v>
      </c>
      <c r="G278" s="17" t="s">
        <v>862</v>
      </c>
    </row>
    <row r="279" spans="1:7" x14ac:dyDescent="0.35">
      <c r="A279" s="15">
        <v>12047</v>
      </c>
      <c r="B279" s="16" t="str">
        <f>"COOPERATIVA DE RADIO COMUNICACAO DE  BELO  HORIZONTE"</f>
        <v>COOPERATIVA DE RADIO COMUNICACAO DE  BELO  HORIZONTE</v>
      </c>
      <c r="C279" s="19">
        <v>46088</v>
      </c>
      <c r="D279" s="19">
        <v>47886</v>
      </c>
      <c r="E279" s="17" t="s">
        <v>863</v>
      </c>
      <c r="F279" s="18" t="s">
        <v>17</v>
      </c>
      <c r="G279" s="17" t="s">
        <v>863</v>
      </c>
    </row>
    <row r="280" spans="1:7" x14ac:dyDescent="0.35">
      <c r="A280" s="15">
        <v>12048</v>
      </c>
      <c r="B280" s="16" t="str">
        <f>"E AUDITORIA SOFTWARES COMO SERVICO LTDA"</f>
        <v>E AUDITORIA SOFTWARES COMO SERVICO LTDA</v>
      </c>
      <c r="C280" s="19" t="s">
        <v>860</v>
      </c>
      <c r="D280" s="19" t="s">
        <v>865</v>
      </c>
      <c r="E280" s="17" t="s">
        <v>864</v>
      </c>
      <c r="F280" s="18" t="s">
        <v>864</v>
      </c>
      <c r="G280" s="17" t="s">
        <v>14</v>
      </c>
    </row>
    <row r="281" spans="1:7" x14ac:dyDescent="0.35">
      <c r="A281" s="15">
        <v>12049</v>
      </c>
      <c r="B281" s="16" t="str">
        <f>"RICCI DIARIOS PUBLICIDADE E AGENCIAMENTO"</f>
        <v>RICCI DIARIOS PUBLICIDADE E AGENCIAMENTO</v>
      </c>
      <c r="C281" s="19" t="s">
        <v>860</v>
      </c>
      <c r="D281" s="19" t="s">
        <v>869</v>
      </c>
      <c r="E281" s="17" t="s">
        <v>866</v>
      </c>
      <c r="F281" s="18" t="s">
        <v>867</v>
      </c>
      <c r="G281" s="17" t="s">
        <v>868</v>
      </c>
    </row>
    <row r="282" spans="1:7" x14ac:dyDescent="0.35">
      <c r="A282" s="15">
        <v>12050</v>
      </c>
      <c r="B282" s="16" t="str">
        <f>"SINDICATO DOS PRODUTORES RURAIS DE PIMENTA"</f>
        <v>SINDICATO DOS PRODUTORES RURAIS DE PIMENTA</v>
      </c>
      <c r="C282" s="19">
        <v>46029</v>
      </c>
      <c r="D282" s="19">
        <v>46421</v>
      </c>
      <c r="E282" s="17" t="s">
        <v>351</v>
      </c>
      <c r="F282" s="18" t="s">
        <v>351</v>
      </c>
      <c r="G282" s="17" t="s">
        <v>14</v>
      </c>
    </row>
    <row r="283" spans="1:7" x14ac:dyDescent="0.35">
      <c r="A283" s="15">
        <v>12053</v>
      </c>
      <c r="B283" s="16" t="str">
        <f>"AGENCIA DE INTEGRACAO EMPRESA ESCOLA LTDA"</f>
        <v>AGENCIA DE INTEGRACAO EMPRESA ESCOLA LTDA</v>
      </c>
      <c r="C283" s="19">
        <v>46180</v>
      </c>
      <c r="D283" s="19" t="s">
        <v>871</v>
      </c>
      <c r="E283" s="17" t="s">
        <v>870</v>
      </c>
      <c r="F283" s="18" t="s">
        <v>17</v>
      </c>
      <c r="G283" s="17" t="s">
        <v>870</v>
      </c>
    </row>
    <row r="284" spans="1:7" x14ac:dyDescent="0.35">
      <c r="A284" s="15">
        <v>12054</v>
      </c>
      <c r="B284" s="16" t="str">
        <f>"UNIAO CONSULTORIA EXECUCAO DE PROJETOS DE GESTAO SS"</f>
        <v>UNIAO CONSULTORIA EXECUCAO DE PROJETOS DE GESTAO SS</v>
      </c>
      <c r="C284" s="19">
        <v>46272</v>
      </c>
      <c r="D284" s="19">
        <v>46601</v>
      </c>
      <c r="E284" s="17" t="s">
        <v>872</v>
      </c>
      <c r="F284" s="18" t="s">
        <v>17</v>
      </c>
      <c r="G284" s="17" t="s">
        <v>872</v>
      </c>
    </row>
    <row r="285" spans="1:7" x14ac:dyDescent="0.35">
      <c r="A285" s="15">
        <v>12055</v>
      </c>
      <c r="B285" s="16" t="str">
        <f>"INSTITUTO BRASILEIRO DE GOVERNANCA CORPORATIVA"</f>
        <v>INSTITUTO BRASILEIRO DE GOVERNANCA CORPORATIVA</v>
      </c>
      <c r="C285" s="19" t="s">
        <v>873</v>
      </c>
      <c r="D285" s="19" t="s">
        <v>874</v>
      </c>
      <c r="E285" s="17" t="s">
        <v>852</v>
      </c>
      <c r="F285" s="18" t="s">
        <v>17</v>
      </c>
      <c r="G285" s="17" t="s">
        <v>852</v>
      </c>
    </row>
    <row r="286" spans="1:7" x14ac:dyDescent="0.35">
      <c r="A286" s="15">
        <v>12056</v>
      </c>
      <c r="B286" s="16" t="str">
        <f>"TECNETWORKING SERVICOS E SOLUCOES EM TI LTDA"</f>
        <v>TECNETWORKING SERVICOS E SOLUCOES EM TI LTDA</v>
      </c>
      <c r="C286" s="19" t="s">
        <v>876</v>
      </c>
      <c r="D286" s="19" t="s">
        <v>877</v>
      </c>
      <c r="E286" s="17" t="s">
        <v>875</v>
      </c>
      <c r="F286" s="18" t="s">
        <v>17</v>
      </c>
      <c r="G286" s="17" t="s">
        <v>875</v>
      </c>
    </row>
    <row r="287" spans="1:7" x14ac:dyDescent="0.35">
      <c r="A287" s="15">
        <v>12058</v>
      </c>
      <c r="B287" s="16" t="str">
        <f>"DEALLINK SERVICOS DE APOIO ADMINISTRATIVO LTDA"</f>
        <v>DEALLINK SERVICOS DE APOIO ADMINISTRATIVO LTDA</v>
      </c>
      <c r="C287" s="19" t="s">
        <v>873</v>
      </c>
      <c r="D287" s="19" t="s">
        <v>879</v>
      </c>
      <c r="E287" s="17" t="s">
        <v>878</v>
      </c>
      <c r="F287" s="18" t="s">
        <v>17</v>
      </c>
      <c r="G287" s="17" t="s">
        <v>878</v>
      </c>
    </row>
    <row r="288" spans="1:7" ht="15" thickBot="1" x14ac:dyDescent="0.4">
      <c r="A288" s="20">
        <v>12061</v>
      </c>
      <c r="B288" s="21" t="str">
        <f>"BRASIL MINAS  PROJETOS E ENGENHARIA  LTDA"</f>
        <v>BRASIL MINAS  PROJETOS E ENGENHARIA  LTDA</v>
      </c>
      <c r="C288" s="24" t="s">
        <v>46</v>
      </c>
      <c r="D288" s="24" t="s">
        <v>881</v>
      </c>
      <c r="E288" s="22" t="s">
        <v>880</v>
      </c>
      <c r="F288" s="23" t="s">
        <v>17</v>
      </c>
      <c r="G288" s="22" t="s">
        <v>880</v>
      </c>
    </row>
  </sheetData>
  <autoFilter ref="E1:E288" xr:uid="{02580182-6AF1-419E-8174-AAF133D02D0F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Publicar</vt:lpstr>
      <vt:lpstr>ERP 1</vt:lpstr>
      <vt:lpstr>Publicar!Titulos_de_impressao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Lúcio Rogério Ramos</dc:creator>
  <cp:lastModifiedBy>Rafaela Rodrigues Fidelis</cp:lastModifiedBy>
  <cp:lastPrinted>2026-08-04T14:17:49Z</cp:lastPrinted>
  <dcterms:created xsi:type="dcterms:W3CDTF">2023-10-02T11:49:44Z</dcterms:created>
  <dcterms:modified xsi:type="dcterms:W3CDTF">2026-08-04T14:18:01Z</dcterms:modified>
</cp:coreProperties>
</file>